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20400" windowHeight="7500" firstSheet="4" activeTab="8"/>
  </bookViews>
  <sheets>
    <sheet name="4_prioritate_1_pielikums" sheetId="11" r:id="rId1"/>
    <sheet name="4_prioritate_2_pielikums" sheetId="12" r:id="rId2"/>
    <sheet name="4_prioritate_3_pielikums_1d" sheetId="8" r:id="rId3"/>
    <sheet name="4_prioritate_3_pielikums_2d" sheetId="9" r:id="rId4"/>
    <sheet name="4_prioritate_3_pielikums_3d" sheetId="10" r:id="rId5"/>
    <sheet name="4.Prioritāte-4_Pielikums" sheetId="3" r:id="rId6"/>
    <sheet name="4.Prioritāte-5_Pielikums_1d" sheetId="13" r:id="rId7"/>
    <sheet name="4.Prioritāte-5_Pielikums_2d" sheetId="14" r:id="rId8"/>
    <sheet name="4.Prioritāte-5_Pielikums_3d" sheetId="16" r:id="rId9"/>
    <sheet name="4.Prioritāte-5_Pielikums_4d" sheetId="15" r:id="rId10"/>
    <sheet name="R-NPV-IRR-BC-4_Prioritāte" sheetId="6" r:id="rId11"/>
  </sheets>
  <externalReferences>
    <externalReference r:id="rId12"/>
    <externalReference r:id="rId13"/>
  </externalReferences>
  <definedNames>
    <definedName name="_Toc227720310" localSheetId="6">'4.Prioritāte-5_Pielikums_1d'!#REF!</definedName>
    <definedName name="a" localSheetId="6" hidden="1">[1]Sheet1!#REF!</definedName>
    <definedName name="a" localSheetId="0" hidden="1">[1]Sheet1!#REF!</definedName>
    <definedName name="a" localSheetId="1" hidden="1">[1]Sheet1!#REF!</definedName>
    <definedName name="a" localSheetId="2" hidden="1">[1]Sheet1!#REF!</definedName>
    <definedName name="a" localSheetId="3" hidden="1">[1]Sheet1!#REF!</definedName>
    <definedName name="a" localSheetId="4" hidden="1">[1]Sheet1!#REF!</definedName>
    <definedName name="a" localSheetId="10" hidden="1">[1]Sheet1!#REF!</definedName>
    <definedName name="a" hidden="1">[1]Sheet1!#REF!</definedName>
    <definedName name="anscount" hidden="1">2</definedName>
    <definedName name="_xlnm.Print_Area" localSheetId="6">'4.Prioritāte-5_Pielikums_1d'!$A$1:$AG$25</definedName>
    <definedName name="_xlnm.Print_Area" localSheetId="8">'4.Prioritāte-5_Pielikums_3d'!$A$1:$K$27</definedName>
    <definedName name="_xlnm.Print_Area" localSheetId="9">'4.Prioritāte-5_Pielikums_4d'!$A$1:$K$12</definedName>
    <definedName name="_xlnm.Print_Area" localSheetId="0">'4_prioritate_1_pielikums'!$D$1:$X$19</definedName>
    <definedName name="_xlnm.Print_Area" localSheetId="1">'4_prioritate_2_pielikums'!$A$4:$Y$49</definedName>
    <definedName name="_xlnm.Print_Area" localSheetId="2">'4_prioritate_3_pielikums_1d'!$B$3:$K$38</definedName>
    <definedName name="_xlnm.Print_Area" localSheetId="3">'4_prioritate_3_pielikums_2d'!$A$1:$I$13</definedName>
    <definedName name="_xlnm.Print_Area" localSheetId="4">'4_prioritate_3_pielikums_3d'!$B$1:$J$15</definedName>
    <definedName name="_xlnm.Print_Area" localSheetId="10">'R-NPV-IRR-BC-4_Prioritāte'!$A$3:$AG$47</definedName>
    <definedName name="sencount" hidden="1">1</definedName>
    <definedName name="wrn.loandepr." localSheetId="6" hidden="1">{"depr",#N/A,FALSE,"basebalance";"ebrdloan",#N/A,FALSE,"basebalance";"eibloan",#N/A,FALSE,"basebalance";"financiers",#N/A,FALSE,"basebalance"}</definedName>
    <definedName name="wrn.loandepr." localSheetId="7" hidden="1">{"depr",#N/A,FALSE,"basebalance";"ebrdloan",#N/A,FALSE,"basebalance";"eibloan",#N/A,FALSE,"basebalance";"financiers",#N/A,FALSE,"basebalance"}</definedName>
    <definedName name="wrn.loandepr." localSheetId="8" hidden="1">{"depr",#N/A,FALSE,"basebalance";"ebrdloan",#N/A,FALSE,"basebalance";"eibloan",#N/A,FALSE,"basebalance";"financiers",#N/A,FALSE,"basebalance"}</definedName>
    <definedName name="wrn.loandepr." localSheetId="9" hidden="1">{"depr",#N/A,FALSE,"basebalance";"ebrdloan",#N/A,FALSE,"basebalance";"eibloan",#N/A,FALSE,"basebalance";"financiers",#N/A,FALSE,"basebalance"}</definedName>
    <definedName name="wrn.loandepr." localSheetId="0" hidden="1">{"depr",#N/A,FALSE,"basebalance";"ebrdloan",#N/A,FALSE,"basebalance";"eibloan",#N/A,FALSE,"basebalance";"financiers",#N/A,FALSE,"basebalance"}</definedName>
    <definedName name="wrn.loandepr." localSheetId="1" hidden="1">{"depr",#N/A,FALSE,"basebalance";"ebrdloan",#N/A,FALSE,"basebalance";"eibloan",#N/A,FALSE,"basebalance";"financiers",#N/A,FALSE,"basebalance"}</definedName>
    <definedName name="wrn.loandepr." localSheetId="2" hidden="1">{"depr",#N/A,FALSE,"basebalance";"ebrdloan",#N/A,FALSE,"basebalance";"eibloan",#N/A,FALSE,"basebalance";"financiers",#N/A,FALSE,"basebalance"}</definedName>
    <definedName name="wrn.loandepr." localSheetId="3" hidden="1">{"depr",#N/A,FALSE,"basebalance";"ebrdloan",#N/A,FALSE,"basebalance";"eibloan",#N/A,FALSE,"basebalance";"financiers",#N/A,FALSE,"basebalance"}</definedName>
    <definedName name="wrn.loandepr." localSheetId="4" hidden="1">{"depr",#N/A,FALSE,"basebalance";"ebrdloan",#N/A,FALSE,"basebalance";"eibloan",#N/A,FALSE,"basebalance";"financiers",#N/A,FALSE,"basebalance"}</definedName>
    <definedName name="wrn.loandepr." localSheetId="10" hidden="1">{"depr",#N/A,FALSE,"basebalance";"ebrdloan",#N/A,FALSE,"basebalance";"eibloan",#N/A,FALSE,"basebalance";"financiers",#N/A,FALSE,"basebalance"}</definedName>
    <definedName name="wrn.loandepr." hidden="1">{"depr",#N/A,FALSE,"basebalance";"ebrdloan",#N/A,FALSE,"basebalance";"eibloan",#N/A,FALSE,"basebalance";"financiers",#N/A,FALSE,"basebalance"}</definedName>
    <definedName name="wrn.profbalcash." localSheetId="6" hidden="1">{"balance",#N/A,FALSE,"revbal";"cashflo",#N/A,FALSE,"revbal"}</definedName>
    <definedName name="wrn.profbalcash." localSheetId="7" hidden="1">{"balance",#N/A,FALSE,"revbal";"cashflo",#N/A,FALSE,"revbal"}</definedName>
    <definedName name="wrn.profbalcash." localSheetId="8" hidden="1">{"balance",#N/A,FALSE,"revbal";"cashflo",#N/A,FALSE,"revbal"}</definedName>
    <definedName name="wrn.profbalcash." localSheetId="9" hidden="1">{"balance",#N/A,FALSE,"revbal";"cashflo",#N/A,FALSE,"revbal"}</definedName>
    <definedName name="wrn.profbalcash." localSheetId="0" hidden="1">{"balance",#N/A,FALSE,"revbal";"cashflo",#N/A,FALSE,"revbal"}</definedName>
    <definedName name="wrn.profbalcash." localSheetId="1" hidden="1">{"balance",#N/A,FALSE,"revbal";"cashflo",#N/A,FALSE,"revbal"}</definedName>
    <definedName name="wrn.profbalcash." localSheetId="2" hidden="1">{"balance",#N/A,FALSE,"revbal";"cashflo",#N/A,FALSE,"revbal"}</definedName>
    <definedName name="wrn.profbalcash." localSheetId="3" hidden="1">{"balance",#N/A,FALSE,"revbal";"cashflo",#N/A,FALSE,"revbal"}</definedName>
    <definedName name="wrn.profbalcash." localSheetId="4" hidden="1">{"balance",#N/A,FALSE,"revbal";"cashflo",#N/A,FALSE,"revbal"}</definedName>
    <definedName name="wrn.profbalcash." localSheetId="10" hidden="1">{"balance",#N/A,FALSE,"revbal";"cashflo",#N/A,FALSE,"revbal"}</definedName>
    <definedName name="wrn.profbalcash." hidden="1">{"balance",#N/A,FALSE,"revbal";"cashflo",#N/A,FALSE,"revbal"}</definedName>
  </definedNames>
  <calcPr calcId="145621"/>
</workbook>
</file>

<file path=xl/calcChain.xml><?xml version="1.0" encoding="utf-8"?>
<calcChain xmlns="http://schemas.openxmlformats.org/spreadsheetml/2006/main">
  <c r="H22" i="16" l="1"/>
  <c r="I22" i="16"/>
  <c r="J22" i="16"/>
  <c r="K22" i="16"/>
  <c r="G22" i="16"/>
  <c r="J46" i="16"/>
  <c r="J44" i="16"/>
  <c r="J42" i="16"/>
  <c r="J40" i="16"/>
  <c r="J38" i="16"/>
  <c r="G23" i="16"/>
  <c r="H23" i="16"/>
  <c r="I23" i="16"/>
  <c r="I26" i="16"/>
  <c r="H26" i="16"/>
  <c r="G26" i="16"/>
  <c r="D86" i="6"/>
  <c r="E86" i="6" s="1"/>
  <c r="F86" i="6" s="1"/>
  <c r="G86" i="6" s="1"/>
  <c r="H86" i="6" s="1"/>
  <c r="I86" i="6" s="1"/>
  <c r="J86" i="6" s="1"/>
  <c r="K86" i="6" s="1"/>
  <c r="L86" i="6" s="1"/>
  <c r="M86" i="6" s="1"/>
  <c r="N86" i="6" s="1"/>
  <c r="O86" i="6" s="1"/>
  <c r="P86" i="6" s="1"/>
  <c r="Q86" i="6" s="1"/>
  <c r="R86" i="6" s="1"/>
  <c r="S86" i="6" s="1"/>
  <c r="T86" i="6" s="1"/>
  <c r="U86" i="6" s="1"/>
  <c r="V86" i="6" s="1"/>
  <c r="W86" i="6" s="1"/>
  <c r="X86" i="6" s="1"/>
  <c r="Y86" i="6" s="1"/>
  <c r="Z86" i="6" s="1"/>
  <c r="AA86" i="6" s="1"/>
  <c r="AB86" i="6" s="1"/>
  <c r="AC86" i="6" s="1"/>
  <c r="AD86" i="6" s="1"/>
  <c r="AE86" i="6" s="1"/>
  <c r="AF86" i="6" s="1"/>
  <c r="D82" i="6"/>
  <c r="C81" i="6"/>
  <c r="C80" i="6"/>
  <c r="C74" i="6"/>
  <c r="C87" i="6" s="1"/>
  <c r="D73" i="6"/>
  <c r="E73" i="6" s="1"/>
  <c r="F73" i="6" s="1"/>
  <c r="G73" i="6" s="1"/>
  <c r="H73" i="6" s="1"/>
  <c r="I73" i="6" s="1"/>
  <c r="J73" i="6" s="1"/>
  <c r="K73" i="6" s="1"/>
  <c r="L73" i="6" s="1"/>
  <c r="M73" i="6" s="1"/>
  <c r="N73" i="6" s="1"/>
  <c r="D69" i="6"/>
  <c r="C68" i="6"/>
  <c r="C72" i="6" s="1"/>
  <c r="F26" i="16"/>
  <c r="F25" i="16"/>
  <c r="F24" i="16"/>
  <c r="K23" i="16"/>
  <c r="K26" i="16" s="1"/>
  <c r="J23" i="16"/>
  <c r="J26" i="16" s="1"/>
  <c r="K21" i="16"/>
  <c r="J21" i="16"/>
  <c r="I21" i="16"/>
  <c r="H21" i="16"/>
  <c r="G21" i="16"/>
  <c r="A2" i="14"/>
  <c r="A2" i="16" s="1"/>
  <c r="A1" i="15" s="1"/>
  <c r="K17" i="16"/>
  <c r="K18" i="16" s="1"/>
  <c r="J17" i="16"/>
  <c r="J18" i="16" s="1"/>
  <c r="I17" i="16"/>
  <c r="I18" i="16" s="1"/>
  <c r="H17" i="16"/>
  <c r="H18" i="16" s="1"/>
  <c r="G17" i="16"/>
  <c r="G18" i="16" s="1"/>
  <c r="K10" i="15"/>
  <c r="J10" i="15"/>
  <c r="I10" i="15"/>
  <c r="H10" i="15"/>
  <c r="G10" i="15"/>
  <c r="K9" i="15"/>
  <c r="J9" i="15"/>
  <c r="I9" i="15"/>
  <c r="H9" i="15"/>
  <c r="G9" i="15"/>
  <c r="F23" i="14"/>
  <c r="F22" i="14"/>
  <c r="F21" i="14"/>
  <c r="K20" i="14"/>
  <c r="K23" i="14" s="1"/>
  <c r="J20" i="14"/>
  <c r="J23" i="14" s="1"/>
  <c r="I20" i="14"/>
  <c r="I23" i="14" s="1"/>
  <c r="H20" i="14"/>
  <c r="H23" i="14" s="1"/>
  <c r="G20" i="14"/>
  <c r="G23" i="14" s="1"/>
  <c r="K19" i="14"/>
  <c r="J19" i="14"/>
  <c r="I19" i="14"/>
  <c r="H19" i="14"/>
  <c r="G19" i="14"/>
  <c r="J16" i="14"/>
  <c r="K15" i="14"/>
  <c r="K16" i="14" s="1"/>
  <c r="J15" i="14"/>
  <c r="I15" i="14"/>
  <c r="I16" i="14" s="1"/>
  <c r="H15" i="14"/>
  <c r="H16" i="14" s="1"/>
  <c r="G15" i="14"/>
  <c r="G16" i="14" s="1"/>
  <c r="C17" i="13"/>
  <c r="B24" i="13"/>
  <c r="B23" i="13"/>
  <c r="B22" i="13"/>
  <c r="B21" i="13"/>
  <c r="B20" i="13"/>
  <c r="C82" i="6" l="1"/>
  <c r="C84" i="6" s="1"/>
  <c r="C71" i="6"/>
  <c r="D74" i="6" s="1"/>
  <c r="H24" i="16"/>
  <c r="J24" i="16"/>
  <c r="H25" i="16"/>
  <c r="J25" i="16"/>
  <c r="G24" i="16"/>
  <c r="I24" i="16"/>
  <c r="K24" i="16"/>
  <c r="G25" i="16"/>
  <c r="I25" i="16"/>
  <c r="K25" i="16"/>
  <c r="J21" i="14"/>
  <c r="H22" i="14"/>
  <c r="J22" i="14"/>
  <c r="H21" i="14"/>
  <c r="G21" i="14"/>
  <c r="G24" i="14" s="1"/>
  <c r="I21" i="14"/>
  <c r="K21" i="14"/>
  <c r="G22" i="14"/>
  <c r="I22" i="14"/>
  <c r="K22" i="14"/>
  <c r="I10" i="9"/>
  <c r="H24" i="14" l="1"/>
  <c r="K24" i="14"/>
  <c r="D87" i="6"/>
  <c r="E74" i="6"/>
  <c r="J24" i="14"/>
  <c r="K27" i="16"/>
  <c r="G27" i="16"/>
  <c r="H27" i="16"/>
  <c r="I27" i="16"/>
  <c r="J27" i="16"/>
  <c r="I24" i="14"/>
  <c r="F74" i="6" l="1"/>
  <c r="E87" i="6"/>
  <c r="F36" i="12"/>
  <c r="L36" i="12" s="1"/>
  <c r="T36" i="12" s="1"/>
  <c r="F38" i="12"/>
  <c r="N38" i="12" s="1"/>
  <c r="F28" i="12"/>
  <c r="L28" i="12" s="1"/>
  <c r="F9" i="12"/>
  <c r="L9" i="12" s="1"/>
  <c r="F17" i="12"/>
  <c r="M17" i="12" s="1"/>
  <c r="T17" i="12" s="1"/>
  <c r="F11" i="12"/>
  <c r="M11" i="12" s="1"/>
  <c r="T11" i="12" s="1"/>
  <c r="F26" i="12"/>
  <c r="M26" i="12" s="1"/>
  <c r="T26" i="12" s="1"/>
  <c r="F10" i="12"/>
  <c r="M10" i="12" s="1"/>
  <c r="T10" i="12" s="1"/>
  <c r="W13" i="12"/>
  <c r="W12" i="12"/>
  <c r="W11" i="12"/>
  <c r="W10" i="12"/>
  <c r="W8" i="12"/>
  <c r="A24" i="13"/>
  <c r="A23" i="13"/>
  <c r="A22" i="13"/>
  <c r="A21" i="13"/>
  <c r="A20" i="13"/>
  <c r="C24" i="13"/>
  <c r="C23" i="13"/>
  <c r="C22" i="13"/>
  <c r="C21" i="13"/>
  <c r="C20" i="13"/>
  <c r="D10" i="13"/>
  <c r="E10" i="13" s="1"/>
  <c r="D5" i="13"/>
  <c r="E5" i="13" s="1"/>
  <c r="F5" i="13" s="1"/>
  <c r="G5" i="13" s="1"/>
  <c r="H5" i="13" s="1"/>
  <c r="I5" i="13" s="1"/>
  <c r="J5" i="13" s="1"/>
  <c r="K5" i="13" s="1"/>
  <c r="L5" i="13" s="1"/>
  <c r="M5" i="13" s="1"/>
  <c r="N5" i="13" s="1"/>
  <c r="O5" i="13" s="1"/>
  <c r="P5" i="13" s="1"/>
  <c r="Q5" i="13" s="1"/>
  <c r="R5" i="13" s="1"/>
  <c r="S5" i="13" s="1"/>
  <c r="T5" i="13" s="1"/>
  <c r="U5" i="13" s="1"/>
  <c r="V5" i="13" s="1"/>
  <c r="W5" i="13" s="1"/>
  <c r="X5" i="13" s="1"/>
  <c r="Y5" i="13" s="1"/>
  <c r="Z5" i="13" s="1"/>
  <c r="AA5" i="13" s="1"/>
  <c r="AB5" i="13" s="1"/>
  <c r="AC5" i="13" s="1"/>
  <c r="AD5" i="13" s="1"/>
  <c r="AE5" i="13" s="1"/>
  <c r="AF5" i="13" s="1"/>
  <c r="AG5" i="13" s="1"/>
  <c r="G46" i="12"/>
  <c r="F41" i="12"/>
  <c r="K41" i="12" s="1"/>
  <c r="F40" i="12"/>
  <c r="M40" i="12" s="1"/>
  <c r="F39" i="12"/>
  <c r="I39" i="12" s="1"/>
  <c r="F37" i="12"/>
  <c r="K37" i="12" s="1"/>
  <c r="T37" i="12" s="1"/>
  <c r="F35" i="12"/>
  <c r="H35" i="12" s="1"/>
  <c r="T35" i="12" s="1"/>
  <c r="F34" i="12"/>
  <c r="F33" i="12"/>
  <c r="K33" i="12" s="1"/>
  <c r="T33" i="12" s="1"/>
  <c r="F32" i="12"/>
  <c r="O32" i="12" s="1"/>
  <c r="F31" i="12"/>
  <c r="K31" i="12" s="1"/>
  <c r="T31" i="12" s="1"/>
  <c r="F30" i="12"/>
  <c r="K30" i="12" s="1"/>
  <c r="T30" i="12" s="1"/>
  <c r="F29" i="12"/>
  <c r="K29" i="12" s="1"/>
  <c r="T29" i="12" s="1"/>
  <c r="F27" i="12"/>
  <c r="K27" i="12" s="1"/>
  <c r="T27" i="12" s="1"/>
  <c r="F25" i="12"/>
  <c r="O25" i="12" s="1"/>
  <c r="F24" i="12"/>
  <c r="K24" i="12" s="1"/>
  <c r="T24" i="12" s="1"/>
  <c r="F23" i="12"/>
  <c r="K23" i="12" s="1"/>
  <c r="T23" i="12" s="1"/>
  <c r="F22" i="12"/>
  <c r="F21" i="12"/>
  <c r="F20" i="12"/>
  <c r="J20" i="12" s="1"/>
  <c r="T20" i="12" s="1"/>
  <c r="F19" i="12"/>
  <c r="K19" i="12" s="1"/>
  <c r="T19" i="12" s="1"/>
  <c r="F18" i="12"/>
  <c r="K18" i="12" s="1"/>
  <c r="T18" i="12" s="1"/>
  <c r="F16" i="12"/>
  <c r="K16" i="12" s="1"/>
  <c r="T16" i="12" s="1"/>
  <c r="F15" i="12"/>
  <c r="K15" i="12" s="1"/>
  <c r="F14" i="12"/>
  <c r="K14" i="12" s="1"/>
  <c r="T14" i="12" s="1"/>
  <c r="F13" i="12"/>
  <c r="K13" i="12" s="1"/>
  <c r="T13" i="12" s="1"/>
  <c r="F12" i="12"/>
  <c r="K12" i="12" s="1"/>
  <c r="T12" i="12" s="1"/>
  <c r="F8" i="12"/>
  <c r="K8" i="12" s="1"/>
  <c r="B8" i="12"/>
  <c r="B9" i="12" s="1"/>
  <c r="B10" i="12" s="1"/>
  <c r="B11" i="12" s="1"/>
  <c r="F7" i="12"/>
  <c r="G7" i="12" s="1"/>
  <c r="T6" i="12"/>
  <c r="S6" i="12"/>
  <c r="R6" i="12"/>
  <c r="Q6" i="12"/>
  <c r="P6" i="12"/>
  <c r="O6" i="12"/>
  <c r="N6" i="12"/>
  <c r="M6" i="12"/>
  <c r="L6" i="12"/>
  <c r="K6" i="12"/>
  <c r="J6" i="12"/>
  <c r="I6" i="12"/>
  <c r="H6" i="12"/>
  <c r="G6" i="12"/>
  <c r="X27" i="11"/>
  <c r="U27" i="11"/>
  <c r="R27" i="11"/>
  <c r="O27" i="11"/>
  <c r="L27" i="11"/>
  <c r="K27" i="11"/>
  <c r="H27" i="11"/>
  <c r="X26" i="11"/>
  <c r="U26" i="11"/>
  <c r="R26" i="11"/>
  <c r="O26" i="11"/>
  <c r="L26" i="11"/>
  <c r="K26" i="11"/>
  <c r="H26" i="11"/>
  <c r="X25" i="11"/>
  <c r="U25" i="11"/>
  <c r="R25" i="11"/>
  <c r="O25" i="11"/>
  <c r="L25" i="11"/>
  <c r="K25" i="11"/>
  <c r="H25" i="11"/>
  <c r="X24" i="11"/>
  <c r="U24" i="11"/>
  <c r="R24" i="11"/>
  <c r="O24" i="11"/>
  <c r="L24" i="11"/>
  <c r="K24" i="11"/>
  <c r="H24" i="11"/>
  <c r="X23" i="11"/>
  <c r="U23" i="11"/>
  <c r="R23" i="11"/>
  <c r="O23" i="11"/>
  <c r="L23" i="11"/>
  <c r="K23" i="11"/>
  <c r="H23" i="11"/>
  <c r="X16" i="11"/>
  <c r="U16" i="11"/>
  <c r="R16" i="11"/>
  <c r="O16" i="11"/>
  <c r="L16" i="11"/>
  <c r="K16" i="11"/>
  <c r="H16" i="11"/>
  <c r="X15" i="11"/>
  <c r="U15" i="11"/>
  <c r="R15" i="11"/>
  <c r="O15" i="11"/>
  <c r="L15" i="11"/>
  <c r="K15" i="11"/>
  <c r="H15" i="11"/>
  <c r="X14" i="11"/>
  <c r="U14" i="11"/>
  <c r="R14" i="11"/>
  <c r="O14" i="11"/>
  <c r="L14" i="11"/>
  <c r="K14" i="11"/>
  <c r="H14" i="11"/>
  <c r="X13" i="11"/>
  <c r="U13" i="11"/>
  <c r="R13" i="11"/>
  <c r="O13" i="11"/>
  <c r="L13" i="11"/>
  <c r="K13" i="11"/>
  <c r="H13" i="11"/>
  <c r="X12" i="11"/>
  <c r="U12" i="11"/>
  <c r="R12" i="11"/>
  <c r="O12" i="11"/>
  <c r="L12" i="11"/>
  <c r="K12" i="11"/>
  <c r="H12" i="11"/>
  <c r="X11" i="11"/>
  <c r="U11" i="11"/>
  <c r="R11" i="11"/>
  <c r="O11" i="11"/>
  <c r="L11" i="11"/>
  <c r="K11" i="11"/>
  <c r="H11" i="11"/>
  <c r="X13" i="12" s="1"/>
  <c r="X10" i="11"/>
  <c r="U10" i="11"/>
  <c r="R10" i="11"/>
  <c r="O10" i="11"/>
  <c r="L10" i="11"/>
  <c r="K10" i="11"/>
  <c r="H10" i="11"/>
  <c r="X12" i="12" s="1"/>
  <c r="X9" i="11"/>
  <c r="U9" i="11"/>
  <c r="R9" i="11"/>
  <c r="O9" i="11"/>
  <c r="L9" i="11"/>
  <c r="K9" i="11"/>
  <c r="H9" i="11"/>
  <c r="X11" i="12" s="1"/>
  <c r="X8" i="11"/>
  <c r="U8" i="11"/>
  <c r="R8" i="11"/>
  <c r="O8" i="11"/>
  <c r="L8" i="11"/>
  <c r="K8" i="11"/>
  <c r="H8" i="11"/>
  <c r="X10" i="12" s="1"/>
  <c r="X7" i="11"/>
  <c r="U7" i="11"/>
  <c r="R7" i="11"/>
  <c r="O7" i="11"/>
  <c r="L7" i="11"/>
  <c r="K7" i="11"/>
  <c r="H7" i="11"/>
  <c r="X8" i="12" s="1"/>
  <c r="F87" i="6" l="1"/>
  <c r="G74" i="6"/>
  <c r="G22" i="12"/>
  <c r="T22" i="12" s="1"/>
  <c r="T38" i="12"/>
  <c r="G21" i="12"/>
  <c r="T21" i="12" s="1"/>
  <c r="B12" i="12"/>
  <c r="B13" i="12" s="1"/>
  <c r="B14" i="12" s="1"/>
  <c r="B15" i="12" s="1"/>
  <c r="B16" i="12" s="1"/>
  <c r="T41" i="12"/>
  <c r="G34" i="12"/>
  <c r="T34" i="12" s="1"/>
  <c r="F10" i="13"/>
  <c r="C25" i="13"/>
  <c r="T8" i="12"/>
  <c r="T40" i="12"/>
  <c r="T7" i="12"/>
  <c r="T39" i="12"/>
  <c r="H74" i="6" l="1"/>
  <c r="G87" i="6"/>
  <c r="C9" i="13"/>
  <c r="D9" i="13" s="1"/>
  <c r="Y3" i="12"/>
  <c r="Y2" i="12"/>
  <c r="B17" i="12"/>
  <c r="B18" i="12" s="1"/>
  <c r="B19" i="12" s="1"/>
  <c r="B20" i="12" s="1"/>
  <c r="B21" i="12" s="1"/>
  <c r="B22" i="12" s="1"/>
  <c r="B23" i="12" s="1"/>
  <c r="B24" i="12" s="1"/>
  <c r="B25" i="12" s="1"/>
  <c r="B26" i="12" s="1"/>
  <c r="AR2" i="12"/>
  <c r="AR3" i="12"/>
  <c r="G10" i="13"/>
  <c r="H87" i="6" l="1"/>
  <c r="I74" i="6"/>
  <c r="E9" i="13"/>
  <c r="D13" i="13"/>
  <c r="Y8" i="12"/>
  <c r="Y13" i="12"/>
  <c r="Y11" i="12"/>
  <c r="Y12" i="12"/>
  <c r="Y10" i="12"/>
  <c r="B27" i="12"/>
  <c r="B28" i="12" s="1"/>
  <c r="B29" i="12" s="1"/>
  <c r="B30" i="12" s="1"/>
  <c r="B31" i="12" s="1"/>
  <c r="B32" i="12" s="1"/>
  <c r="B33" i="12" s="1"/>
  <c r="B34" i="12" s="1"/>
  <c r="B35" i="12" s="1"/>
  <c r="B36" i="12" s="1"/>
  <c r="AR12" i="12"/>
  <c r="AR9" i="12"/>
  <c r="AR11" i="12"/>
  <c r="AR10" i="12"/>
  <c r="AR8" i="12"/>
  <c r="H10" i="13"/>
  <c r="D32" i="6" l="1"/>
  <c r="D10" i="6"/>
  <c r="J74" i="6"/>
  <c r="I87" i="6"/>
  <c r="F9" i="13"/>
  <c r="E13" i="13"/>
  <c r="Y14" i="12"/>
  <c r="AR15" i="12"/>
  <c r="AR16" i="12"/>
  <c r="B37" i="12"/>
  <c r="B38" i="12" s="1"/>
  <c r="B39" i="12" s="1"/>
  <c r="B40" i="12" s="1"/>
  <c r="B41" i="12" s="1"/>
  <c r="AR13" i="12"/>
  <c r="I10" i="13"/>
  <c r="E10" i="6" l="1"/>
  <c r="E32" i="6"/>
  <c r="Y15" i="12"/>
  <c r="G13" i="8"/>
  <c r="D9" i="3"/>
  <c r="D6" i="3"/>
  <c r="D3" i="3"/>
  <c r="D12" i="3" s="1"/>
  <c r="J87" i="6"/>
  <c r="K74" i="6"/>
  <c r="G9" i="13"/>
  <c r="F13" i="13"/>
  <c r="AR17" i="12"/>
  <c r="J10" i="13"/>
  <c r="F10" i="6" l="1"/>
  <c r="F32" i="6"/>
  <c r="L74" i="6"/>
  <c r="K87" i="6"/>
  <c r="H9" i="13"/>
  <c r="G13" i="13"/>
  <c r="K10" i="13"/>
  <c r="G10" i="6" l="1"/>
  <c r="G32" i="6"/>
  <c r="L87" i="6"/>
  <c r="M74" i="6"/>
  <c r="I9" i="13"/>
  <c r="H13" i="13"/>
  <c r="L10" i="13"/>
  <c r="H10" i="6" l="1"/>
  <c r="H32" i="6"/>
  <c r="N74" i="6"/>
  <c r="M87" i="6"/>
  <c r="J9" i="13"/>
  <c r="I13" i="13"/>
  <c r="M10" i="13"/>
  <c r="I10" i="6" l="1"/>
  <c r="I32" i="6"/>
  <c r="N87" i="6"/>
  <c r="K9" i="13"/>
  <c r="J13" i="13"/>
  <c r="N10" i="13"/>
  <c r="J10" i="6" l="1"/>
  <c r="J32" i="6"/>
  <c r="N89" i="6"/>
  <c r="O87" i="6"/>
  <c r="L9" i="13"/>
  <c r="K13" i="13"/>
  <c r="O10" i="13"/>
  <c r="K10" i="6" l="1"/>
  <c r="K32" i="6"/>
  <c r="P87" i="6"/>
  <c r="M9" i="13"/>
  <c r="L13" i="13"/>
  <c r="P10" i="13"/>
  <c r="L10" i="6" l="1"/>
  <c r="L32" i="6"/>
  <c r="Q87" i="6"/>
  <c r="N9" i="13"/>
  <c r="M13" i="13"/>
  <c r="Q10" i="13"/>
  <c r="M10" i="6" l="1"/>
  <c r="M32" i="6"/>
  <c r="R87" i="6"/>
  <c r="O9" i="13"/>
  <c r="N13" i="13"/>
  <c r="R10" i="13"/>
  <c r="N10" i="6" l="1"/>
  <c r="N32" i="6"/>
  <c r="S87" i="6"/>
  <c r="P9" i="13"/>
  <c r="O13" i="13"/>
  <c r="S10" i="13"/>
  <c r="O10" i="6" l="1"/>
  <c r="O32" i="6"/>
  <c r="T87" i="6"/>
  <c r="Q9" i="13"/>
  <c r="P13" i="13"/>
  <c r="P32" i="6" s="1"/>
  <c r="T10" i="13"/>
  <c r="U87" i="6" l="1"/>
  <c r="R9" i="13"/>
  <c r="Q13" i="13"/>
  <c r="Q32" i="6" s="1"/>
  <c r="U10" i="13"/>
  <c r="V87" i="6" l="1"/>
  <c r="S9" i="13"/>
  <c r="R13" i="13"/>
  <c r="R32" i="6" s="1"/>
  <c r="V10" i="13"/>
  <c r="W87" i="6" l="1"/>
  <c r="T9" i="13"/>
  <c r="S13" i="13"/>
  <c r="S32" i="6" s="1"/>
  <c r="W10" i="13"/>
  <c r="X87" i="6" l="1"/>
  <c r="U9" i="13"/>
  <c r="T13" i="13"/>
  <c r="T32" i="6" s="1"/>
  <c r="X10" i="13"/>
  <c r="Y87" i="6" l="1"/>
  <c r="V9" i="13"/>
  <c r="U13" i="13"/>
  <c r="U32" i="6" s="1"/>
  <c r="Y10" i="13"/>
  <c r="Z87" i="6" l="1"/>
  <c r="W9" i="13"/>
  <c r="V13" i="13"/>
  <c r="V32" i="6" s="1"/>
  <c r="Z10" i="13"/>
  <c r="AA87" i="6" l="1"/>
  <c r="X9" i="13"/>
  <c r="W13" i="13"/>
  <c r="W32" i="6" s="1"/>
  <c r="AA10" i="13"/>
  <c r="AB87" i="6" l="1"/>
  <c r="Y9" i="13"/>
  <c r="X13" i="13"/>
  <c r="X32" i="6" s="1"/>
  <c r="AB10" i="13"/>
  <c r="AC87" i="6" l="1"/>
  <c r="Z9" i="13"/>
  <c r="Y13" i="13"/>
  <c r="Y32" i="6" s="1"/>
  <c r="AC10" i="13"/>
  <c r="AD87" i="6" l="1"/>
  <c r="AA9" i="13"/>
  <c r="Z13" i="13"/>
  <c r="Z32" i="6" s="1"/>
  <c r="AD10" i="13"/>
  <c r="AE87" i="6" l="1"/>
  <c r="AB9" i="13"/>
  <c r="AA13" i="13"/>
  <c r="AA32" i="6" s="1"/>
  <c r="AE10" i="13"/>
  <c r="AF87" i="6" l="1"/>
  <c r="AC9" i="13"/>
  <c r="AB13" i="13"/>
  <c r="AB32" i="6" s="1"/>
  <c r="AF10" i="13"/>
  <c r="E81" i="6" l="1"/>
  <c r="AD9" i="13"/>
  <c r="AC13" i="13"/>
  <c r="AC32" i="6" s="1"/>
  <c r="AG10" i="13"/>
  <c r="AE9" i="13" l="1"/>
  <c r="AD13" i="13"/>
  <c r="AD32" i="6" s="1"/>
  <c r="E13" i="10"/>
  <c r="D13" i="10"/>
  <c r="C12" i="10"/>
  <c r="C85" i="10"/>
  <c r="D85" i="10" s="1"/>
  <c r="C77" i="10"/>
  <c r="D77" i="10" s="1"/>
  <c r="E77" i="10" s="1"/>
  <c r="F77" i="10" s="1"/>
  <c r="G77" i="10" s="1"/>
  <c r="H77" i="10" s="1"/>
  <c r="I77" i="10" s="1"/>
  <c r="J77" i="10" s="1"/>
  <c r="C69" i="10"/>
  <c r="D69" i="10" s="1"/>
  <c r="E69" i="10" s="1"/>
  <c r="F69" i="10" s="1"/>
  <c r="G69" i="10" s="1"/>
  <c r="H69" i="10" s="1"/>
  <c r="I69" i="10" s="1"/>
  <c r="J69" i="10" s="1"/>
  <c r="D84" i="10" s="1"/>
  <c r="E68" i="10"/>
  <c r="F68" i="10" s="1"/>
  <c r="G68" i="10" s="1"/>
  <c r="H68" i="10" s="1"/>
  <c r="I68" i="10" s="1"/>
  <c r="J68" i="10" s="1"/>
  <c r="K23" i="9"/>
  <c r="J23" i="9"/>
  <c r="I23" i="9"/>
  <c r="I24" i="9" s="1"/>
  <c r="H21" i="9"/>
  <c r="I21" i="9" s="1"/>
  <c r="J21" i="9" s="1"/>
  <c r="K21" i="9" s="1"/>
  <c r="H14" i="9"/>
  <c r="E42" i="8"/>
  <c r="E25" i="8"/>
  <c r="H21" i="8"/>
  <c r="K18" i="8"/>
  <c r="E39" i="6"/>
  <c r="F39" i="6" s="1"/>
  <c r="C35" i="6"/>
  <c r="F34" i="6"/>
  <c r="G34" i="6" s="1"/>
  <c r="H34" i="6" s="1"/>
  <c r="I34" i="6" s="1"/>
  <c r="J34" i="6" s="1"/>
  <c r="K34" i="6" s="1"/>
  <c r="L34" i="6" s="1"/>
  <c r="M34" i="6" s="1"/>
  <c r="N34" i="6" s="1"/>
  <c r="O34" i="6" s="1"/>
  <c r="P34" i="6" s="1"/>
  <c r="Q34" i="6" s="1"/>
  <c r="R34" i="6" s="1"/>
  <c r="S34" i="6" s="1"/>
  <c r="T34" i="6" s="1"/>
  <c r="U34" i="6" s="1"/>
  <c r="V34" i="6" s="1"/>
  <c r="W34" i="6" s="1"/>
  <c r="X34" i="6" s="1"/>
  <c r="Y34" i="6" s="1"/>
  <c r="Z34" i="6" s="1"/>
  <c r="AA34" i="6" s="1"/>
  <c r="AB34" i="6" s="1"/>
  <c r="AC34" i="6" s="1"/>
  <c r="AD34" i="6" s="1"/>
  <c r="AE34" i="6" s="1"/>
  <c r="AF34" i="6" s="1"/>
  <c r="AG34" i="6" s="1"/>
  <c r="E34" i="6"/>
  <c r="E33" i="6"/>
  <c r="F33" i="6" s="1"/>
  <c r="G33" i="6" s="1"/>
  <c r="H33" i="6" s="1"/>
  <c r="I33" i="6" s="1"/>
  <c r="J33" i="6" s="1"/>
  <c r="K33" i="6" s="1"/>
  <c r="L33" i="6" s="1"/>
  <c r="M33" i="6" s="1"/>
  <c r="N33" i="6" s="1"/>
  <c r="O33" i="6" s="1"/>
  <c r="P33" i="6" s="1"/>
  <c r="Q33" i="6" s="1"/>
  <c r="R33" i="6" s="1"/>
  <c r="S33" i="6" s="1"/>
  <c r="T33" i="6" s="1"/>
  <c r="U33" i="6" s="1"/>
  <c r="V33" i="6" s="1"/>
  <c r="W33" i="6" s="1"/>
  <c r="X33" i="6" s="1"/>
  <c r="Y33" i="6" s="1"/>
  <c r="Z33" i="6" s="1"/>
  <c r="AA33" i="6" s="1"/>
  <c r="AB33" i="6" s="1"/>
  <c r="AC33" i="6" s="1"/>
  <c r="AD33" i="6" s="1"/>
  <c r="AE33" i="6" s="1"/>
  <c r="AF33" i="6" s="1"/>
  <c r="AG33" i="6" s="1"/>
  <c r="D28" i="6"/>
  <c r="D29" i="6" s="1"/>
  <c r="E17" i="6"/>
  <c r="C13" i="6"/>
  <c r="E12" i="6"/>
  <c r="F12" i="6" s="1"/>
  <c r="G12" i="6" s="1"/>
  <c r="H12" i="6" s="1"/>
  <c r="I12" i="6" s="1"/>
  <c r="J12" i="6" s="1"/>
  <c r="K12" i="6" s="1"/>
  <c r="L12" i="6" s="1"/>
  <c r="M12" i="6" s="1"/>
  <c r="N12" i="6" s="1"/>
  <c r="O12" i="6" s="1"/>
  <c r="P12" i="6" s="1"/>
  <c r="Q12" i="6" s="1"/>
  <c r="R12" i="6" s="1"/>
  <c r="S12" i="6" s="1"/>
  <c r="T12" i="6" s="1"/>
  <c r="U12" i="6" s="1"/>
  <c r="V12" i="6" s="1"/>
  <c r="W12" i="6" s="1"/>
  <c r="X12" i="6" s="1"/>
  <c r="Y12" i="6" s="1"/>
  <c r="Z12" i="6" s="1"/>
  <c r="AA12" i="6" s="1"/>
  <c r="AB12" i="6" s="1"/>
  <c r="AC12" i="6" s="1"/>
  <c r="AD12" i="6" s="1"/>
  <c r="AE12" i="6" s="1"/>
  <c r="AF12" i="6" s="1"/>
  <c r="AG12" i="6" s="1"/>
  <c r="F11" i="6"/>
  <c r="G11" i="6" s="1"/>
  <c r="H11" i="6" s="1"/>
  <c r="I11" i="6" s="1"/>
  <c r="J11" i="6" s="1"/>
  <c r="K11" i="6" s="1"/>
  <c r="L11" i="6" s="1"/>
  <c r="M11" i="6" s="1"/>
  <c r="N11" i="6" s="1"/>
  <c r="O11" i="6" s="1"/>
  <c r="P11" i="6" s="1"/>
  <c r="E11" i="6"/>
  <c r="E6" i="6"/>
  <c r="F6" i="6" s="1"/>
  <c r="D6" i="6"/>
  <c r="D7" i="6" s="1"/>
  <c r="C71" i="10" l="1"/>
  <c r="D71" i="10" s="1"/>
  <c r="E71" i="10" s="1"/>
  <c r="F71" i="10" s="1"/>
  <c r="G71" i="10" s="1"/>
  <c r="E28" i="6"/>
  <c r="F28" i="6" s="1"/>
  <c r="AF9" i="13"/>
  <c r="AE13" i="13"/>
  <c r="AE32" i="6" s="1"/>
  <c r="J24" i="9"/>
  <c r="K24" i="9" s="1"/>
  <c r="H15" i="9"/>
  <c r="E12" i="10" s="1"/>
  <c r="L21" i="9"/>
  <c r="G14" i="9"/>
  <c r="G15" i="9" s="1"/>
  <c r="F7" i="6"/>
  <c r="G6" i="6"/>
  <c r="P13" i="6"/>
  <c r="Q11" i="6"/>
  <c r="F17" i="6"/>
  <c r="F29" i="6"/>
  <c r="G28" i="6"/>
  <c r="E7" i="6"/>
  <c r="E29" i="6"/>
  <c r="G39" i="6"/>
  <c r="AG9" i="13" l="1"/>
  <c r="AG13" i="13" s="1"/>
  <c r="AG32" i="6" s="1"/>
  <c r="AF13" i="13"/>
  <c r="AF32" i="6" s="1"/>
  <c r="I15" i="9"/>
  <c r="L15" i="9" s="1"/>
  <c r="D12" i="10"/>
  <c r="H71" i="10"/>
  <c r="G17" i="6"/>
  <c r="Q13" i="6"/>
  <c r="R11" i="6"/>
  <c r="H6" i="6"/>
  <c r="G7" i="6"/>
  <c r="H39" i="6"/>
  <c r="H28" i="6"/>
  <c r="G29" i="6"/>
  <c r="I71" i="10" l="1"/>
  <c r="H29" i="6"/>
  <c r="I28" i="6"/>
  <c r="I39" i="6"/>
  <c r="R13" i="6"/>
  <c r="S11" i="6"/>
  <c r="H7" i="6"/>
  <c r="I6" i="6"/>
  <c r="H17" i="6"/>
  <c r="J71" i="10" l="1"/>
  <c r="I17" i="6"/>
  <c r="J6" i="6"/>
  <c r="I7" i="6"/>
  <c r="S13" i="6"/>
  <c r="T11" i="6"/>
  <c r="J39" i="6"/>
  <c r="J28" i="6"/>
  <c r="I29" i="6"/>
  <c r="G16" i="8" l="1"/>
  <c r="F18" i="8" s="1"/>
  <c r="E21" i="8" s="1"/>
  <c r="G21" i="8" s="1"/>
  <c r="K39" i="6"/>
  <c r="T13" i="6"/>
  <c r="U11" i="6"/>
  <c r="J17" i="6"/>
  <c r="J29" i="6"/>
  <c r="K28" i="6"/>
  <c r="J7" i="6"/>
  <c r="K6" i="6"/>
  <c r="J18" i="8" l="1"/>
  <c r="M16" i="6" s="1"/>
  <c r="M38" i="6" s="1"/>
  <c r="W38" i="6" s="1"/>
  <c r="AG38" i="6" s="1"/>
  <c r="E28" i="8"/>
  <c r="D28" i="8" s="1"/>
  <c r="E13" i="6"/>
  <c r="E35" i="6"/>
  <c r="L6" i="6"/>
  <c r="K7" i="6"/>
  <c r="L28" i="6"/>
  <c r="K29" i="6"/>
  <c r="K17" i="6"/>
  <c r="U13" i="6"/>
  <c r="V11" i="6"/>
  <c r="L39" i="6"/>
  <c r="J21" i="8" l="1"/>
  <c r="I34" i="8" s="1"/>
  <c r="J34" i="8" s="1"/>
  <c r="E31" i="8"/>
  <c r="F34" i="8" s="1"/>
  <c r="F13" i="6"/>
  <c r="F35" i="6"/>
  <c r="L17" i="6"/>
  <c r="L29" i="6"/>
  <c r="M28" i="6"/>
  <c r="M39" i="6"/>
  <c r="V13" i="6"/>
  <c r="W11" i="6"/>
  <c r="L7" i="6"/>
  <c r="M6" i="6"/>
  <c r="G37" i="8" l="1"/>
  <c r="C61" i="10" s="1"/>
  <c r="C16" i="6" s="1"/>
  <c r="E34" i="8"/>
  <c r="D31" i="8"/>
  <c r="G35" i="6"/>
  <c r="G13" i="6"/>
  <c r="N28" i="6"/>
  <c r="M29" i="6"/>
  <c r="M17" i="6"/>
  <c r="N6" i="6"/>
  <c r="M7" i="6"/>
  <c r="W13" i="6"/>
  <c r="X11" i="6"/>
  <c r="N39" i="6"/>
  <c r="G38" i="8" l="1"/>
  <c r="C9" i="10"/>
  <c r="D9" i="10" s="1"/>
  <c r="D10" i="10" s="1"/>
  <c r="H73" i="10"/>
  <c r="J73" i="10"/>
  <c r="C10" i="10" s="1"/>
  <c r="F73" i="10"/>
  <c r="C73" i="10"/>
  <c r="I73" i="10"/>
  <c r="G73" i="10"/>
  <c r="D73" i="10"/>
  <c r="E73" i="10"/>
  <c r="D40" i="6"/>
  <c r="D18" i="6"/>
  <c r="H35" i="6"/>
  <c r="H13" i="6"/>
  <c r="N7" i="6"/>
  <c r="O6" i="6"/>
  <c r="N29" i="6"/>
  <c r="O28" i="6"/>
  <c r="O39" i="6"/>
  <c r="X13" i="6"/>
  <c r="Y11" i="6"/>
  <c r="N17" i="6"/>
  <c r="E9" i="10" l="1"/>
  <c r="E10" i="10" s="1"/>
  <c r="F10" i="10" s="1"/>
  <c r="E18" i="6"/>
  <c r="D19" i="6"/>
  <c r="D41" i="6"/>
  <c r="E40" i="6"/>
  <c r="I13" i="6"/>
  <c r="I35" i="6"/>
  <c r="P28" i="6"/>
  <c r="O29" i="6"/>
  <c r="P6" i="6"/>
  <c r="O7" i="6"/>
  <c r="O17" i="6"/>
  <c r="Y13" i="6"/>
  <c r="Z11" i="6"/>
  <c r="P39" i="6"/>
  <c r="F9" i="10" l="1"/>
  <c r="E19" i="6"/>
  <c r="E21" i="6" s="1"/>
  <c r="F18" i="6"/>
  <c r="E41" i="6"/>
  <c r="E43" i="6" s="1"/>
  <c r="F40" i="6"/>
  <c r="J13" i="6"/>
  <c r="J35" i="6"/>
  <c r="Q39" i="6"/>
  <c r="Z13" i="6"/>
  <c r="AA11" i="6"/>
  <c r="P17" i="6"/>
  <c r="P7" i="6"/>
  <c r="Q6" i="6"/>
  <c r="P29" i="6"/>
  <c r="Q28" i="6"/>
  <c r="D9" i="6" l="1"/>
  <c r="G40" i="6"/>
  <c r="F41" i="6"/>
  <c r="F43" i="6" s="1"/>
  <c r="G18" i="6"/>
  <c r="F19" i="6"/>
  <c r="F21" i="6" s="1"/>
  <c r="K13" i="6"/>
  <c r="K35" i="6"/>
  <c r="R28" i="6"/>
  <c r="Q29" i="6"/>
  <c r="R6" i="6"/>
  <c r="Q7" i="6"/>
  <c r="Q17" i="6"/>
  <c r="AA13" i="6"/>
  <c r="AB11" i="6"/>
  <c r="R39" i="6"/>
  <c r="S39" i="6" s="1"/>
  <c r="H18" i="6" l="1"/>
  <c r="G19" i="6"/>
  <c r="G21" i="6" s="1"/>
  <c r="H40" i="6"/>
  <c r="G41" i="6"/>
  <c r="G43" i="6" s="1"/>
  <c r="L13" i="6"/>
  <c r="L35" i="6"/>
  <c r="T39" i="6"/>
  <c r="AB13" i="6"/>
  <c r="AC11" i="6"/>
  <c r="R17" i="6"/>
  <c r="S17" i="6" s="1"/>
  <c r="R7" i="6"/>
  <c r="S6" i="6"/>
  <c r="R29" i="6"/>
  <c r="S28" i="6"/>
  <c r="I40" i="6" l="1"/>
  <c r="H41" i="6"/>
  <c r="H43" i="6" s="1"/>
  <c r="I18" i="6"/>
  <c r="H19" i="6"/>
  <c r="H21" i="6" s="1"/>
  <c r="M13" i="6"/>
  <c r="M35" i="6"/>
  <c r="T28" i="6"/>
  <c r="S29" i="6"/>
  <c r="T6" i="6"/>
  <c r="S7" i="6"/>
  <c r="T17" i="6"/>
  <c r="AC13" i="6"/>
  <c r="AD11" i="6"/>
  <c r="U39" i="6"/>
  <c r="J18" i="6" l="1"/>
  <c r="I19" i="6"/>
  <c r="I21" i="6" s="1"/>
  <c r="J40" i="6"/>
  <c r="I41" i="6"/>
  <c r="I43" i="6" s="1"/>
  <c r="N35" i="6"/>
  <c r="N13" i="6"/>
  <c r="C19" i="6"/>
  <c r="C21" i="6" s="1"/>
  <c r="C38" i="6"/>
  <c r="V39" i="6"/>
  <c r="AD13" i="6"/>
  <c r="AE11" i="6"/>
  <c r="U17" i="6"/>
  <c r="T7" i="6"/>
  <c r="U6" i="6"/>
  <c r="T29" i="6"/>
  <c r="U28" i="6"/>
  <c r="J41" i="6" l="1"/>
  <c r="J43" i="6" s="1"/>
  <c r="K40" i="6"/>
  <c r="J19" i="6"/>
  <c r="J21" i="6" s="1"/>
  <c r="K18" i="6"/>
  <c r="O35" i="6"/>
  <c r="O13" i="6"/>
  <c r="C41" i="6"/>
  <c r="C43" i="6" s="1"/>
  <c r="V28" i="6"/>
  <c r="U29" i="6"/>
  <c r="V6" i="6"/>
  <c r="U7" i="6"/>
  <c r="V17" i="6"/>
  <c r="AE13" i="6"/>
  <c r="AF11" i="6"/>
  <c r="W39" i="6"/>
  <c r="K19" i="6" l="1"/>
  <c r="K21" i="6" s="1"/>
  <c r="L18" i="6"/>
  <c r="K41" i="6"/>
  <c r="K43" i="6" s="1"/>
  <c r="L40" i="6"/>
  <c r="D31" i="6"/>
  <c r="D35" i="6" s="1"/>
  <c r="D43" i="6" s="1"/>
  <c r="D13" i="6"/>
  <c r="P35" i="6"/>
  <c r="X39" i="6"/>
  <c r="AF13" i="6"/>
  <c r="AG11" i="6"/>
  <c r="AG13" i="6" s="1"/>
  <c r="W17" i="6"/>
  <c r="V7" i="6"/>
  <c r="W6" i="6"/>
  <c r="V29" i="6"/>
  <c r="W28" i="6"/>
  <c r="L41" i="6" l="1"/>
  <c r="L43" i="6" s="1"/>
  <c r="M40" i="6"/>
  <c r="L19" i="6"/>
  <c r="L21" i="6" s="1"/>
  <c r="M18" i="6"/>
  <c r="Q35" i="6"/>
  <c r="D21" i="6"/>
  <c r="B13" i="6"/>
  <c r="X28" i="6"/>
  <c r="W29" i="6"/>
  <c r="X6" i="6"/>
  <c r="W7" i="6"/>
  <c r="X17" i="6"/>
  <c r="Y39" i="6"/>
  <c r="M19" i="6" l="1"/>
  <c r="M21" i="6" s="1"/>
  <c r="N18" i="6"/>
  <c r="M41" i="6"/>
  <c r="M43" i="6" s="1"/>
  <c r="N40" i="6"/>
  <c r="R35" i="6"/>
  <c r="Z39" i="6"/>
  <c r="Y17" i="6"/>
  <c r="X7" i="6"/>
  <c r="Y6" i="6"/>
  <c r="X29" i="6"/>
  <c r="Y28" i="6"/>
  <c r="N41" i="6" l="1"/>
  <c r="N43" i="6" s="1"/>
  <c r="O40" i="6"/>
  <c r="N19" i="6"/>
  <c r="N21" i="6" s="1"/>
  <c r="O18" i="6"/>
  <c r="S35" i="6"/>
  <c r="Z28" i="6"/>
  <c r="Y29" i="6"/>
  <c r="Z6" i="6"/>
  <c r="Y7" i="6"/>
  <c r="Z17" i="6"/>
  <c r="AA39" i="6"/>
  <c r="O19" i="6" l="1"/>
  <c r="O21" i="6" s="1"/>
  <c r="P18" i="6"/>
  <c r="O41" i="6"/>
  <c r="O43" i="6" s="1"/>
  <c r="P40" i="6"/>
  <c r="T35" i="6"/>
  <c r="AB39" i="6"/>
  <c r="AA17" i="6"/>
  <c r="Z7" i="6"/>
  <c r="AA6" i="6"/>
  <c r="Z29" i="6"/>
  <c r="AA28" i="6"/>
  <c r="P41" i="6" l="1"/>
  <c r="P43" i="6" s="1"/>
  <c r="Q40" i="6"/>
  <c r="P19" i="6"/>
  <c r="P21" i="6" s="1"/>
  <c r="Q18" i="6"/>
  <c r="U35" i="6"/>
  <c r="AB28" i="6"/>
  <c r="AA29" i="6"/>
  <c r="AB6" i="6"/>
  <c r="AA7" i="6"/>
  <c r="AB17" i="6"/>
  <c r="AC39" i="6"/>
  <c r="Q19" i="6" l="1"/>
  <c r="Q21" i="6" s="1"/>
  <c r="R18" i="6"/>
  <c r="Q41" i="6"/>
  <c r="Q43" i="6" s="1"/>
  <c r="R40" i="6"/>
  <c r="V35" i="6"/>
  <c r="AC17" i="6"/>
  <c r="AB7" i="6"/>
  <c r="AC6" i="6"/>
  <c r="AB29" i="6"/>
  <c r="AC28" i="6"/>
  <c r="AD39" i="6"/>
  <c r="S40" i="6" l="1"/>
  <c r="S41" i="6" s="1"/>
  <c r="S43" i="6" s="1"/>
  <c r="R41" i="6"/>
  <c r="R43" i="6" s="1"/>
  <c r="S18" i="6"/>
  <c r="S19" i="6" s="1"/>
  <c r="S21" i="6" s="1"/>
  <c r="R19" i="6"/>
  <c r="R21" i="6" s="1"/>
  <c r="T40" i="6"/>
  <c r="T41" i="6" s="1"/>
  <c r="W35" i="6"/>
  <c r="AE39" i="6"/>
  <c r="AD28" i="6"/>
  <c r="AC29" i="6"/>
  <c r="AD6" i="6"/>
  <c r="AC7" i="6"/>
  <c r="AD17" i="6"/>
  <c r="T18" i="6" l="1"/>
  <c r="U18" i="6" s="1"/>
  <c r="U40" i="6"/>
  <c r="T43" i="6"/>
  <c r="X35" i="6"/>
  <c r="AE17" i="6"/>
  <c r="AD7" i="6"/>
  <c r="AE6" i="6"/>
  <c r="AD29" i="6"/>
  <c r="AE28" i="6"/>
  <c r="AF39" i="6"/>
  <c r="T19" i="6" l="1"/>
  <c r="T21" i="6" s="1"/>
  <c r="U41" i="6"/>
  <c r="U43" i="6" s="1"/>
  <c r="V40" i="6"/>
  <c r="U19" i="6"/>
  <c r="U21" i="6" s="1"/>
  <c r="V18" i="6"/>
  <c r="Y35" i="6"/>
  <c r="B35" i="6"/>
  <c r="AG39" i="6"/>
  <c r="AF28" i="6"/>
  <c r="AE29" i="6"/>
  <c r="AF6" i="6"/>
  <c r="AE7" i="6"/>
  <c r="AF17" i="6"/>
  <c r="W18" i="6" l="1"/>
  <c r="V19" i="6"/>
  <c r="V21" i="6" s="1"/>
  <c r="W40" i="6"/>
  <c r="V41" i="6"/>
  <c r="V43" i="6" s="1"/>
  <c r="Z35" i="6"/>
  <c r="AG17" i="6"/>
  <c r="AF7" i="6"/>
  <c r="AG6" i="6"/>
  <c r="AG7" i="6" s="1"/>
  <c r="AF29" i="6"/>
  <c r="AG28" i="6"/>
  <c r="AG29" i="6" s="1"/>
  <c r="X40" i="6" l="1"/>
  <c r="W41" i="6"/>
  <c r="W43" i="6" s="1"/>
  <c r="X18" i="6"/>
  <c r="W19" i="6"/>
  <c r="AA35" i="6"/>
  <c r="Y18" i="6" l="1"/>
  <c r="X19" i="6"/>
  <c r="X21" i="6" s="1"/>
  <c r="Y40" i="6"/>
  <c r="X41" i="6"/>
  <c r="W21" i="6"/>
  <c r="B19" i="6"/>
  <c r="AB35" i="6"/>
  <c r="Z40" i="6" l="1"/>
  <c r="Y41" i="6"/>
  <c r="Y43" i="6" s="1"/>
  <c r="Z18" i="6"/>
  <c r="Y19" i="6"/>
  <c r="Y21" i="6" s="1"/>
  <c r="B41" i="6"/>
  <c r="X43" i="6"/>
  <c r="AC35" i="6"/>
  <c r="Z19" i="6" l="1"/>
  <c r="Z21" i="6" s="1"/>
  <c r="AA18" i="6"/>
  <c r="Z41" i="6"/>
  <c r="Z43" i="6" s="1"/>
  <c r="AA40" i="6"/>
  <c r="AD35" i="6"/>
  <c r="AB40" i="6" l="1"/>
  <c r="AA41" i="6"/>
  <c r="AA43" i="6" s="1"/>
  <c r="AB18" i="6"/>
  <c r="AA19" i="6"/>
  <c r="AA21" i="6" s="1"/>
  <c r="AE35" i="6"/>
  <c r="AB19" i="6" l="1"/>
  <c r="AC18" i="6"/>
  <c r="AB41" i="6"/>
  <c r="AB43" i="6" s="1"/>
  <c r="AC40" i="6"/>
  <c r="AG35" i="6"/>
  <c r="AF35" i="6"/>
  <c r="AB21" i="6" l="1"/>
  <c r="AD40" i="6"/>
  <c r="AC41" i="6"/>
  <c r="AC43" i="6" s="1"/>
  <c r="AD18" i="6"/>
  <c r="AC19" i="6"/>
  <c r="AC21" i="6" s="1"/>
  <c r="AE18" i="6" l="1"/>
  <c r="AD19" i="6"/>
  <c r="AD21" i="6" s="1"/>
  <c r="AE40" i="6"/>
  <c r="AD41" i="6"/>
  <c r="AF40" i="6" l="1"/>
  <c r="AF41" i="6" s="1"/>
  <c r="AE41" i="6"/>
  <c r="AE43" i="6" s="1"/>
  <c r="AF18" i="6"/>
  <c r="AE19" i="6"/>
  <c r="AD43" i="6"/>
  <c r="AG18" i="6" l="1"/>
  <c r="AG19" i="6" s="1"/>
  <c r="AG21" i="6" s="1"/>
  <c r="AF19" i="6"/>
  <c r="AF21" i="6" s="1"/>
  <c r="AG40" i="6"/>
  <c r="AG41" i="6" s="1"/>
  <c r="AG43" i="6" s="1"/>
  <c r="AE21" i="6"/>
  <c r="B25" i="6" l="1"/>
  <c r="AF43" i="6"/>
  <c r="B46" i="6" s="1"/>
  <c r="B47" i="6"/>
  <c r="B24" i="6"/>
  <c r="B23" i="6" l="1"/>
  <c r="B45" i="6"/>
  <c r="AQ2" i="12"/>
  <c r="AQ3" i="12"/>
  <c r="AQ11" i="12" l="1"/>
  <c r="AQ12" i="12"/>
  <c r="AQ8" i="12"/>
  <c r="AQ9" i="12"/>
  <c r="AQ10" i="12"/>
  <c r="AQ15" i="12" l="1"/>
  <c r="AQ16" i="12"/>
  <c r="AQ13" i="12"/>
  <c r="AQ17" i="12" l="1"/>
</calcChain>
</file>

<file path=xl/comments1.xml><?xml version="1.0" encoding="utf-8"?>
<comments xmlns="http://schemas.openxmlformats.org/spreadsheetml/2006/main">
  <authors>
    <author>Aigars</author>
  </authors>
  <commentList>
    <comment ref="C64" authorId="0">
      <text>
        <r>
          <rPr>
            <sz val="10"/>
            <color indexed="81"/>
            <rFont val="Tahoma"/>
            <family val="2"/>
            <charset val="186"/>
          </rPr>
          <t>Calculating Cost Per Job | Best Practice Note 2015 (3rd Edition) 2011.gads</t>
        </r>
        <r>
          <rPr>
            <sz val="8"/>
            <color indexed="81"/>
            <rFont val="Tahoma"/>
            <family val="2"/>
            <charset val="186"/>
          </rPr>
          <t xml:space="preserve">
atbilstoša valūtas korekcija</t>
        </r>
      </text>
    </comment>
  </commentList>
</comments>
</file>

<file path=xl/comments2.xml><?xml version="1.0" encoding="utf-8"?>
<comments xmlns="http://schemas.openxmlformats.org/spreadsheetml/2006/main">
  <authors>
    <author>A</author>
  </authors>
  <commentList>
    <comment ref="C3" authorId="0">
      <text>
        <r>
          <rPr>
            <sz val="9"/>
            <color indexed="81"/>
            <rFont val="Tahoma"/>
            <family val="2"/>
          </rPr>
          <t>ik gadu no kopējo pamatlīdzekļu sākotnējām izbūves izmaksām</t>
        </r>
      </text>
    </comment>
    <comment ref="C6" authorId="0">
      <text>
        <r>
          <rPr>
            <sz val="9"/>
            <color indexed="81"/>
            <rFont val="Tahoma"/>
            <family val="2"/>
          </rPr>
          <t>ik gadu no kopējo pamatlīdzekļu sākotnējām izbūves izmaksām</t>
        </r>
      </text>
    </comment>
    <comment ref="C9" authorId="0">
      <text>
        <r>
          <rPr>
            <sz val="9"/>
            <color indexed="81"/>
            <rFont val="Tahoma"/>
            <family val="2"/>
          </rPr>
          <t>ik gadu no kopējo pamatlīdzekļu sākotnējām izbūves izmaksām</t>
        </r>
      </text>
    </comment>
  </commentList>
</comments>
</file>

<file path=xl/comments3.xml><?xml version="1.0" encoding="utf-8"?>
<comments xmlns="http://schemas.openxmlformats.org/spreadsheetml/2006/main">
  <authors>
    <author>A</author>
  </authors>
  <commentList>
    <comment ref="C67" authorId="0">
      <text>
        <r>
          <rPr>
            <b/>
            <sz val="9"/>
            <color indexed="81"/>
            <rFont val="Tahoma"/>
            <family val="2"/>
          </rPr>
          <t>Aprēķina periods (ievada ar roku)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68" authorId="0">
      <text>
        <r>
          <rPr>
            <b/>
            <sz val="9"/>
            <color indexed="81"/>
            <rFont val="Tahoma"/>
            <family val="2"/>
          </rPr>
          <t xml:space="preserve">Ieejeošā informācija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9" authorId="0">
      <text>
        <r>
          <rPr>
            <b/>
            <sz val="9"/>
            <color indexed="81"/>
            <rFont val="Tahoma"/>
            <family val="2"/>
          </rPr>
          <t>Aprēķina periods (ievada ar roku)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81" authorId="0">
      <text>
        <r>
          <rPr>
            <b/>
            <sz val="9"/>
            <color indexed="81"/>
            <rFont val="Tahoma"/>
            <family val="2"/>
          </rPr>
          <t xml:space="preserve">Ieejeošā informācija 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<sst xmlns="http://schemas.openxmlformats.org/spreadsheetml/2006/main" count="406" uniqueCount="255">
  <si>
    <t>2015=100</t>
  </si>
  <si>
    <t>LVL</t>
  </si>
  <si>
    <t>EUR</t>
  </si>
  <si>
    <t>EUR/gadā</t>
  </si>
  <si>
    <t>Projekta ekonomiskie rādītāji - ĪSTERMIŅA</t>
  </si>
  <si>
    <t>disk. faktors</t>
  </si>
  <si>
    <t>Ekonomiskie ieguvumi; tūkst. EUR</t>
  </si>
  <si>
    <t>Investīciju ieguldījumu ietekme - Īstermiņa</t>
  </si>
  <si>
    <t>Ekonomiskie ieguvumi</t>
  </si>
  <si>
    <t>Ekonomiskie izdevumi; tūkst. EUR</t>
  </si>
  <si>
    <t>Investīciju apjoms ekonomiskajās cenās</t>
  </si>
  <si>
    <t xml:space="preserve">Personāla izmaksas </t>
  </si>
  <si>
    <t>Ekonomiskie izdevumi</t>
  </si>
  <si>
    <t>Ekonomisko ieguvumu-izdevumu naudas plūsma; tūkst. EUR</t>
  </si>
  <si>
    <t>Reālā ekonomiskā diskonta likme</t>
  </si>
  <si>
    <t xml:space="preserve">Investīciju ekonomiskā iekšējā peļņas norma (ERR) </t>
  </si>
  <si>
    <t xml:space="preserve">Investīciju ekonomiskā tīrā šodienas vērtība (ENPV) </t>
  </si>
  <si>
    <t>tūkst. EUR</t>
  </si>
  <si>
    <t xml:space="preserve">Investīciju ekonomiskā ieguvumu - izmaksu rādītājs (B/C) </t>
  </si>
  <si>
    <t>Projekta ekonomiskie rādītāji - ILGTERMIŅA</t>
  </si>
  <si>
    <t>ha</t>
  </si>
  <si>
    <t># Sadalītas investīcijas Būvdarbos un Iekārtās</t>
  </si>
  <si>
    <t># Sadalītas investīcijas Darba apmaksā un Materiālos</t>
  </si>
  <si>
    <t># Aprēķināta no investīcijām samaksātais neto darba algās (ekonomisko ieguvumu aprēķinam)</t>
  </si>
  <si>
    <t># Aprēķināta investīcijas ekonomiskās cenās (ekonomisko izdevumu aprēķinam)</t>
  </si>
  <si>
    <t>Kopā</t>
  </si>
  <si>
    <t>Kopējās izmaksas bez PVN</t>
  </si>
  <si>
    <t>Būvdarbi</t>
  </si>
  <si>
    <t>Iekārtas</t>
  </si>
  <si>
    <t>Izdevumu daļa darbaspēkam</t>
  </si>
  <si>
    <t>Materiāli</t>
  </si>
  <si>
    <t>Imports</t>
  </si>
  <si>
    <t>atskaitāmie Nodokļi</t>
  </si>
  <si>
    <t>IIN</t>
  </si>
  <si>
    <t>VSAOI</t>
  </si>
  <si>
    <t>Nodokļos aiziet</t>
  </si>
  <si>
    <t>Pēc korekcijas aprēķināts samaksātais neto darba algās</t>
  </si>
  <si>
    <t>Kopā Būvdarbi (pēc fiskālās korekcijas)</t>
  </si>
  <si>
    <t>Kopā Iekārtas</t>
  </si>
  <si>
    <t>Kopā Investīcijas (pēc fiskālās korekcijas)</t>
  </si>
  <si>
    <t># Investīciju izraisītai ietekmei izmantots nozare "Būvniecība" reizinātājs</t>
  </si>
  <si>
    <t xml:space="preserve">             Nozare (NACE 2.red.)</t>
  </si>
  <si>
    <t>Kopējās izlaides reizinātājs</t>
  </si>
  <si>
    <t>Nodarbinātības* ietekme Netiešā</t>
  </si>
  <si>
    <t>Nodarbinātības* ietekme Izraisītā</t>
  </si>
  <si>
    <t>Tiešā (direct)</t>
  </si>
  <si>
    <t>Netiešā (inderect)</t>
  </si>
  <si>
    <t>Izraisītais (induced)</t>
  </si>
  <si>
    <t>Būvniecība</t>
  </si>
  <si>
    <t>*Nodarbinātība (radītā darba vieta uz katru radīto 1 milj. EUR kopējā izlaidē)</t>
  </si>
  <si>
    <t>netiešā ietekme</t>
  </si>
  <si>
    <t>īpatsvars</t>
  </si>
  <si>
    <t>IKG10_100. Iekšzemes kopprodukta deflatori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</si>
  <si>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</si>
  <si>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</si>
  <si>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</si>
  <si>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</si>
  <si>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</si>
  <si>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</si>
  <si>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</si>
  <si>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</si>
  <si>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</si>
  <si>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</si>
  <si>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deflators IKP</t>
  </si>
  <si>
    <t>Investīciju ieguldījumu ietekme uz pārējos tautsaimniecības subjektiem:</t>
  </si>
  <si>
    <t># Ekonomisko ieguvumu attiecina uz samaksātais neto darba algās</t>
  </si>
  <si>
    <t># Tiešā nodarbinātības ietekme aprēķināta, balstoties uz Lielbritānijas pētījuma "Calculating Cost Per Job | Best Practice Note 2015 (3rd Edition)"</t>
  </si>
  <si>
    <t>Rādītājs</t>
  </si>
  <si>
    <r>
      <t>Tieša ietekme</t>
    </r>
    <r>
      <rPr>
        <sz val="12"/>
        <color indexed="8"/>
        <rFont val="Calibri"/>
        <family val="2"/>
        <charset val="186"/>
      </rPr>
      <t xml:space="preserve"> </t>
    </r>
  </si>
  <si>
    <r>
      <t>Netiešā ietekme</t>
    </r>
    <r>
      <rPr>
        <sz val="12"/>
        <color indexed="8"/>
        <rFont val="Calibri"/>
        <family val="2"/>
        <charset val="186"/>
      </rPr>
      <t xml:space="preserve"> </t>
    </r>
  </si>
  <si>
    <t xml:space="preserve">Izraisītā ietekme </t>
  </si>
  <si>
    <r>
      <t>Kopējā ietekme</t>
    </r>
    <r>
      <rPr>
        <sz val="12"/>
        <color indexed="8"/>
        <rFont val="Calibri"/>
        <family val="2"/>
        <charset val="186"/>
      </rPr>
      <t xml:space="preserve"> </t>
    </r>
  </si>
  <si>
    <t>Kopējā izlaide; tūkst. EUR</t>
  </si>
  <si>
    <t>Nodarbinātība</t>
  </si>
  <si>
    <t>reizinātāji:</t>
  </si>
  <si>
    <t>Kopējā izlaide</t>
  </si>
  <si>
    <t>Nodarbinātība (tiek radīta darba vieta uz katru radīto 1 milj. EUR kopējā izlaidē)</t>
  </si>
  <si>
    <t>Pēc korekcijas aprēķināts samaksātais neto darba algās [1]</t>
  </si>
  <si>
    <t>Ieguldītais UK gadījums</t>
  </si>
  <si>
    <t>nodarbinātie uz ieguldīto [2]</t>
  </si>
  <si>
    <t>ieguldījums UK</t>
  </si>
  <si>
    <t>pamatkapitāla deflators; CSP datu bāze</t>
  </si>
  <si>
    <t>LV gadījums [4]</t>
  </si>
  <si>
    <t>jaunās radītās darbavietas [1]/[4]x[2]</t>
  </si>
  <si>
    <t>UK</t>
  </si>
  <si>
    <t>LV</t>
  </si>
  <si>
    <t>2011Q1</t>
  </si>
  <si>
    <t>2018Q1</t>
  </si>
  <si>
    <t>https://ec.europa.eu/eurostat/web/products-datasets/-/namq_10_pc</t>
  </si>
  <si>
    <t>pamatlīdzekļu uzturēšanas izmaksas</t>
  </si>
  <si>
    <t>materiāli (reaģenti, u.c.)</t>
  </si>
  <si>
    <t>tk.EUR</t>
  </si>
  <si>
    <t>Lebanese-German Technical Cooperation</t>
  </si>
  <si>
    <t>Assessment of Key Issues related to</t>
  </si>
  <si>
    <t>Wastewater Management in Lebanon</t>
  </si>
  <si>
    <t>komunālie maksājumi</t>
  </si>
  <si>
    <t>NAI CE</t>
  </si>
  <si>
    <t>notekūdeņu apjoms, tūkst.m3</t>
  </si>
  <si>
    <t>notekūdeņu apjoms, m3/dnn</t>
  </si>
  <si>
    <t>Susp.vielas ienākošā slodze, t</t>
  </si>
  <si>
    <t>Susp.vielas izejošā slodze, t</t>
  </si>
  <si>
    <t>Susp.vielas samazinājuma %</t>
  </si>
  <si>
    <t>Susp.vielas mg/l izplūdē</t>
  </si>
  <si>
    <t>ĶSP ienākošā slodze, t</t>
  </si>
  <si>
    <t>ĶSP izejošā slodze, t</t>
  </si>
  <si>
    <t>ĶSP samazinājuma %</t>
  </si>
  <si>
    <t>BSP ienākošā slodze, t</t>
  </si>
  <si>
    <t>BSP izejošā slodze, t</t>
  </si>
  <si>
    <t>BSP samazinājuma %</t>
  </si>
  <si>
    <t>Pkop ienākošā slodze, t</t>
  </si>
  <si>
    <t>Pkop izejošā slodze, t</t>
  </si>
  <si>
    <t>Pkop samazinājuma %</t>
  </si>
  <si>
    <t>Nkop ienākošā slodze, t</t>
  </si>
  <si>
    <t>Nkop izejošā slodze, t</t>
  </si>
  <si>
    <t>Nkop samazinājuma %</t>
  </si>
  <si>
    <t>Bēne</t>
  </si>
  <si>
    <t>Līvbērze</t>
  </si>
  <si>
    <t>Lociki</t>
  </si>
  <si>
    <t>Skulte</t>
  </si>
  <si>
    <t>Zemgale</t>
  </si>
  <si>
    <t>Lubāna</t>
  </si>
  <si>
    <t>Vaiņode</t>
  </si>
  <si>
    <t>Jaunjelgava</t>
  </si>
  <si>
    <t>Mazsalaca</t>
  </si>
  <si>
    <t xml:space="preserve"> Jaunpils</t>
  </si>
  <si>
    <t xml:space="preserve">1. Vērtējot notekūdeņu atbilstību gadījumos, kad piesārņojošam parametram ir divi kritēriji (samazinājuma procenti un koncentrācija izplūdē), atbilstībai parasti pietiek, ja izpildās kaut viens no tiem. </t>
  </si>
  <si>
    <t xml:space="preserve">2. Ar zilo krāsu iekrāsoti apšaubāmi (ārpus ticamības robežām) dati. </t>
  </si>
  <si>
    <t>2018.gads</t>
  </si>
  <si>
    <t>uzraudzība</t>
  </si>
  <si>
    <t>projektēšana</t>
  </si>
  <si>
    <t>m3/dnn</t>
  </si>
  <si>
    <t>2002</t>
  </si>
  <si>
    <t>2003</t>
  </si>
  <si>
    <t>2004</t>
  </si>
  <si>
    <t>2005</t>
  </si>
  <si>
    <t>2006</t>
  </si>
  <si>
    <t>2007</t>
  </si>
  <si>
    <t>2008</t>
  </si>
  <si>
    <t>2005=100</t>
  </si>
  <si>
    <t>Procentos pret iepriekšējo periodu (2015)</t>
  </si>
  <si>
    <r>
      <t>y = ae</t>
    </r>
    <r>
      <rPr>
        <b/>
        <vertAlign val="superscript"/>
        <sz val="12"/>
        <color rgb="FFFF0000"/>
        <rFont val="Calibri"/>
        <family val="2"/>
      </rPr>
      <t>bx</t>
    </r>
  </si>
  <si>
    <t>Exponencialais</t>
  </si>
  <si>
    <t>y = a*ln(x)+b</t>
  </si>
  <si>
    <t>Logoritmiskais</t>
  </si>
  <si>
    <t>Bāzes gada cena</t>
  </si>
  <si>
    <t>y = bx + a</t>
  </si>
  <si>
    <t xml:space="preserve"> 2018.gada cenās </t>
  </si>
  <si>
    <t xml:space="preserve"> 2017.gada cenās </t>
  </si>
  <si>
    <t>VSIA “Latvijas Vides, ģeoloģijas un meteoroloģijas centrs” sniegtā informācija par riska ūdensobjeku piesārņojošo NAI izplūdes rādītājiem</t>
  </si>
  <si>
    <t>2017.gads</t>
  </si>
  <si>
    <t>RCG010. Cenu indeksi</t>
  </si>
  <si>
    <t>Būvniecības izmaksu indekss</t>
  </si>
  <si>
    <t>Bāzes informācija indikatīvā investīciju apjoma aprēķinam</t>
  </si>
  <si>
    <t>Apdzīvotā vieta</t>
  </si>
  <si>
    <t>Indikatīvās investīcijas; EUR</t>
  </si>
  <si>
    <t>Aprēķinātās indikatīvās investīcijas 4.prioritātei</t>
  </si>
  <si>
    <t>NAI jauda; m3/dnn</t>
  </si>
  <si>
    <t>KOPĀ</t>
  </si>
  <si>
    <t>INDIKATĪVĀS INVESTĪCIJAS</t>
  </si>
  <si>
    <t>Kopējās indikatīvās investīcijas</t>
  </si>
  <si>
    <t>Kopā; EUR</t>
  </si>
  <si>
    <t>Aprēķinātie reizinātāji, kas izmantoti aprēķinos un radītā ietekme uz nodarbinatību:</t>
  </si>
  <si>
    <t>Radītā ietekme (2015.gada cenās)</t>
  </si>
  <si>
    <t>Radītā ietekme (konvertēta 2018.gada cenās)</t>
  </si>
  <si>
    <t>Aprēķinātās indikatīvās ekspluatācijas izdevumi 4.prioritātei</t>
  </si>
  <si>
    <t>Investīciju ieguldījumu ietekme - Ilgtermiņa</t>
  </si>
  <si>
    <t xml:space="preserve">Ieguvumu sabiedrībai no piesārņojuma vidē samazinājuma </t>
  </si>
  <si>
    <t>Ekspluatācijas izdevumi</t>
  </si>
  <si>
    <t>Aprēķinātie ekonomisko ieguvumu investīciju efektivitātes indikatori 4.prioritātei</t>
  </si>
  <si>
    <t>Ieguvumu sabiedrībai no piesārņojuma vidē samazinājuma  Ekonomiskais aprēķins</t>
  </si>
  <si>
    <t>Ekonomisko ieguvumu aprēķins 4.prioritātei</t>
  </si>
  <si>
    <t>Aprēķinātais ekonomiskais ieguvums; EUR</t>
  </si>
  <si>
    <t>IKP deflators</t>
  </si>
  <si>
    <t>2017.gada vidējo kanalizācijas pakalpojumu tarifu Latvijā</t>
  </si>
  <si>
    <t>Aprēķiniem piemērotais vid. Kanalizācijas pakalpojumu tarfis</t>
  </si>
  <si>
    <t>Notekūdeņu apjoms; m3/gadā</t>
  </si>
  <si>
    <t># Uzrādītas investīcijas prioritātē</t>
  </si>
  <si>
    <t>Grupa</t>
  </si>
  <si>
    <t>Nodaļa</t>
  </si>
  <si>
    <t>Klase</t>
  </si>
  <si>
    <t>Indikators</t>
  </si>
  <si>
    <t>Mērvienība</t>
  </si>
  <si>
    <t>Indikatora kods</t>
  </si>
  <si>
    <t>Apgādes pakalpojumi</t>
  </si>
  <si>
    <t>Produkti vai Pārtikas resursi</t>
  </si>
  <si>
    <t>Savvaļas augi, dzīvnieki un to produkti</t>
  </si>
  <si>
    <t>Pārtikā lietojamās zivis</t>
  </si>
  <si>
    <t>A3</t>
  </si>
  <si>
    <t>Savvaļas augu šķiedras un citi materiāli tiešai izmantošanai vai pārstrādei</t>
  </si>
  <si>
    <t>Ārstniecības augi</t>
  </si>
  <si>
    <t>Sugu skaits</t>
  </si>
  <si>
    <t>A5</t>
  </si>
  <si>
    <t>Regulējošie pakalpojumi</t>
  </si>
  <si>
    <t>Fizikālo, ķīmisko, bioloģisko apstākļu regulēšana</t>
  </si>
  <si>
    <t>Ūdens aprites cikla un ūdens plūsmas regulēšana</t>
  </si>
  <si>
    <t>Nogulumiežu ūdensietilpības un ūdens akumulācijas spēja</t>
  </si>
  <si>
    <t>Kompleksais parametrs</t>
  </si>
  <si>
    <t>B2</t>
  </si>
  <si>
    <t>Dzīves cikla uzturēšana, biotopu aizsardzība</t>
  </si>
  <si>
    <t>Invazīvo sugu izplatības ierobežošana</t>
  </si>
  <si>
    <t>Invazīvo svešzemju izcelsmes sugu skaits</t>
  </si>
  <si>
    <t>B4</t>
  </si>
  <si>
    <t>Kultūras pakalpojumi</t>
  </si>
  <si>
    <t>Tiešā fiziskā un intelektuālā mijiedarbība ar ekosistēmām</t>
  </si>
  <si>
    <t>Rekreācijas iespējas</t>
  </si>
  <si>
    <t>Pasīvā un aktīvā atpūta</t>
  </si>
  <si>
    <t>Ekspertu vērtējums ballēs</t>
  </si>
  <si>
    <t>C1</t>
  </si>
  <si>
    <t>Vides izziņas iespējas</t>
  </si>
  <si>
    <t>Izglītojoša darbība, izmantojot ekosistēmu</t>
  </si>
  <si>
    <t>C2</t>
  </si>
  <si>
    <t>Ar ekosistēmu saistītais kultūras mantojums</t>
  </si>
  <si>
    <t>Kultūras mantojums, kas saistīts ar ekosistēmu</t>
  </si>
  <si>
    <t>C3</t>
  </si>
  <si>
    <t>TEV, EUR/ha</t>
  </si>
  <si>
    <t>TEV, EUR</t>
  </si>
  <si>
    <t>Ietekmes areāls (ha)</t>
  </si>
  <si>
    <t>KOPĀ TEV</t>
  </si>
  <si>
    <t>IEŅĒMUMI</t>
  </si>
  <si>
    <t>Esošā situācija</t>
  </si>
  <si>
    <t>12.gads</t>
  </si>
  <si>
    <t>30.gads</t>
  </si>
  <si>
    <t>Tīrie ieņēmumi 12 gados</t>
  </si>
  <si>
    <t>Tīrie ieņēmumi 30 gados</t>
  </si>
  <si>
    <t>Piesārņojuma samazinājuma ūdenī ieguvums</t>
  </si>
  <si>
    <r>
      <t xml:space="preserve">kg/ha </t>
    </r>
    <r>
      <rPr>
        <vertAlign val="superscript"/>
        <sz val="12"/>
        <rFont val="Calibri"/>
        <family val="2"/>
        <scheme val="minor"/>
      </rPr>
      <t>-1</t>
    </r>
  </si>
  <si>
    <t>Iegvums no biotopu stāvokļa uzlabošanas - esošā situācija</t>
  </si>
  <si>
    <t>Iegvums no biotopu stāvokļa uzlabošanas - pēc 12 gadiem un 30 gadiem</t>
  </si>
  <si>
    <t>Iegvums no biotopu stāvokļa uzlabošanas - kopsavilkums un tīrie ieņēmumi</t>
  </si>
  <si>
    <t>Vienmērīgais pieaugums:</t>
  </si>
  <si>
    <t>Investīcijas tiek paredzētas "0".gadā</t>
  </si>
  <si>
    <t>periods</t>
  </si>
  <si>
    <t>gadi</t>
  </si>
  <si>
    <t>gala vērtība</t>
  </si>
  <si>
    <t>sākuma vērtība</t>
  </si>
  <si>
    <t>d=</t>
  </si>
  <si>
    <t>q=</t>
  </si>
  <si>
    <t>periods-īsais</t>
  </si>
  <si>
    <t>gads</t>
  </si>
  <si>
    <t>chek</t>
  </si>
  <si>
    <t>Spoguļvirsma, ha</t>
  </si>
  <si>
    <t>Garums, m</t>
  </si>
  <si>
    <t>Platums, m</t>
  </si>
  <si>
    <t>Auce</t>
  </si>
  <si>
    <t>L118</t>
  </si>
  <si>
    <t>Lielupe</t>
  </si>
  <si>
    <t>L107</t>
  </si>
  <si>
    <t>Tērvete</t>
  </si>
  <si>
    <t>L120</t>
  </si>
  <si>
    <t>Aģe</t>
  </si>
  <si>
    <t>G264</t>
  </si>
  <si>
    <t>Līksna</t>
  </si>
  <si>
    <t>D494</t>
  </si>
  <si>
    <t>Upe</t>
  </si>
  <si>
    <t>Rādītāja kods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</si>
</sst>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43" formatCode="_-* #,##0.00_-;\-* #,##0.00_-;_-* &quot;-&quot;??_-;_-@_-"/>
    <numFmt numFmtId="164" formatCode="0.000"/>
    <numFmt numFmtId="165" formatCode="_-* #,##0.00\ _L_s_-;\-* #,##0.00\ _L_s_-;_-* &quot;-&quot;??\ _L_s_-;_-@_-"/>
    <numFmt numFmtId="166" formatCode="_-* #,##0.00_-;\-* #,##0.00_-;_-* \-??_-;_-@_-"/>
    <numFmt numFmtId="167" formatCode="_-* #,##0\ &quot;LVL&quot;_-;\-* #,##0\ &quot;LVL&quot;_-;_-* &quot;-&quot;\ &quot;LVL&quot;_-;_-@_-"/>
    <numFmt numFmtId="168" formatCode="_([$€]* #,##0.00_);_([$€]* \(#,##0.00\);_([$€]* &quot;-&quot;??_);_(@_)"/>
    <numFmt numFmtId="169" formatCode="0.0000"/>
    <numFmt numFmtId="170" formatCode="0.00000"/>
    <numFmt numFmtId="171" formatCode="0.0"/>
    <numFmt numFmtId="172" formatCode="#,##0.0_ ;\-#,##0.0\ "/>
    <numFmt numFmtId="173" formatCode="#,##0_ ;\-#,##0\ "/>
    <numFmt numFmtId="174" formatCode="#,##0.0_ ;[Red]\-#,##0.0\ "/>
    <numFmt numFmtId="175" formatCode="#,##0.0"/>
    <numFmt numFmtId="176" formatCode="0.0%"/>
    <numFmt numFmtId="177" formatCode="#,##0.00_ ;[Red]\-#,##0.00\ "/>
    <numFmt numFmtId="178" formatCode="0.000%"/>
    <numFmt numFmtId="179" formatCode="0.00_ ;[Red]\-0.00\ "/>
    <numFmt numFmtId="180" formatCode="_-* #,##0_-;\-* #,##0_-;_-* &quot;-&quot;??_-;_-@_-"/>
    <numFmt numFmtId="181" formatCode="#,##0.00000"/>
    <numFmt numFmtId="182" formatCode="#,##0.000"/>
  </numFmts>
  <fonts count="109" x14ac:knownFonts="1">
    <font>
      <sz val="12"/>
      <color theme="1"/>
      <name val="Calibri"/>
      <family val="2"/>
    </font>
    <font>
      <sz val="12"/>
      <color theme="1"/>
      <name val="Calibri"/>
      <family val="2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10"/>
      <name val="Helv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rgb="FFFA7D00"/>
      <name val="Calibri"/>
      <family val="2"/>
      <charset val="186"/>
      <scheme val="minor"/>
    </font>
    <font>
      <sz val="10"/>
      <name val="Arial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9"/>
      <name val="Calibri"/>
      <family val="2"/>
      <charset val="186"/>
    </font>
    <font>
      <sz val="10"/>
      <name val="Times New Roman"/>
      <family val="1"/>
      <charset val="186"/>
    </font>
    <font>
      <sz val="10"/>
      <name val="Helv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u/>
      <sz val="10"/>
      <color indexed="12"/>
      <name val="Arial"/>
      <family val="2"/>
      <charset val="186"/>
    </font>
    <font>
      <sz val="11"/>
      <color indexed="52"/>
      <name val="Calibri"/>
      <family val="2"/>
      <charset val="186"/>
    </font>
    <font>
      <sz val="10"/>
      <name val="Garamond"/>
      <family val="1"/>
      <charset val="186"/>
    </font>
    <font>
      <sz val="11"/>
      <color theme="1"/>
      <name val="Verdana"/>
      <family val="2"/>
      <charset val="186"/>
    </font>
    <font>
      <sz val="10"/>
      <name val="Arial Narrow"/>
      <family val="2"/>
      <charset val="186"/>
    </font>
    <font>
      <sz val="11"/>
      <color theme="1"/>
      <name val="Calibri"/>
      <family val="2"/>
      <scheme val="minor"/>
    </font>
    <font>
      <sz val="11"/>
      <color theme="1"/>
      <name val="Calibri Light"/>
      <family val="2"/>
    </font>
    <font>
      <i/>
      <sz val="10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b/>
      <i/>
      <sz val="12"/>
      <name val="Calibri"/>
      <family val="2"/>
      <charset val="186"/>
      <scheme val="minor"/>
    </font>
    <font>
      <sz val="12"/>
      <name val="Calibri"/>
      <family val="2"/>
      <charset val="186"/>
      <scheme val="minor"/>
    </font>
    <font>
      <b/>
      <sz val="12"/>
      <name val="Calibri"/>
      <family val="2"/>
      <charset val="186"/>
      <scheme val="minor"/>
    </font>
    <font>
      <b/>
      <i/>
      <sz val="8"/>
      <color rgb="FFFF0000"/>
      <name val="Calibri"/>
      <family val="2"/>
      <charset val="186"/>
      <scheme val="minor"/>
    </font>
    <font>
      <sz val="8"/>
      <color rgb="FFFF0000"/>
      <name val="Calibri"/>
      <family val="2"/>
      <charset val="186"/>
      <scheme val="minor"/>
    </font>
    <font>
      <i/>
      <sz val="12"/>
      <name val="Calibri"/>
      <family val="2"/>
      <charset val="186"/>
      <scheme val="minor"/>
    </font>
    <font>
      <b/>
      <i/>
      <sz val="10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sz val="8"/>
      <name val="Arial"/>
      <family val="2"/>
    </font>
    <font>
      <b/>
      <u/>
      <sz val="12"/>
      <name val="Calibri"/>
      <family val="2"/>
      <charset val="186"/>
      <scheme val="minor"/>
    </font>
    <font>
      <b/>
      <sz val="11"/>
      <color rgb="FFFF0000"/>
      <name val="Calibri"/>
      <family val="2"/>
      <scheme val="minor"/>
    </font>
    <font>
      <sz val="9"/>
      <color indexed="81"/>
      <name val="Tahoma"/>
      <family val="2"/>
    </font>
    <font>
      <b/>
      <i/>
      <u/>
      <sz val="14"/>
      <color theme="1"/>
      <name val="Calibri"/>
      <family val="2"/>
      <charset val="186"/>
    </font>
    <font>
      <sz val="12"/>
      <color theme="1"/>
      <name val="Calibri"/>
      <family val="2"/>
      <charset val="186"/>
    </font>
    <font>
      <b/>
      <i/>
      <u/>
      <sz val="12"/>
      <color theme="1"/>
      <name val="Calibri"/>
      <family val="2"/>
      <charset val="186"/>
    </font>
    <font>
      <b/>
      <u/>
      <sz val="12"/>
      <color theme="1"/>
      <name val="Calibri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i/>
      <sz val="12"/>
      <color theme="1"/>
      <name val="Calibri"/>
      <family val="2"/>
      <charset val="186"/>
      <scheme val="minor"/>
    </font>
    <font>
      <i/>
      <sz val="12"/>
      <color theme="1"/>
      <name val="Calibri"/>
      <family val="2"/>
      <charset val="186"/>
    </font>
    <font>
      <i/>
      <sz val="11"/>
      <color theme="1"/>
      <name val="Calibri"/>
      <family val="2"/>
      <charset val="186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</font>
    <font>
      <b/>
      <i/>
      <u/>
      <sz val="14"/>
      <color theme="1"/>
      <name val="Calibri"/>
      <family val="2"/>
      <charset val="186"/>
      <scheme val="minor"/>
    </font>
    <font>
      <b/>
      <i/>
      <u/>
      <sz val="12"/>
      <color theme="1"/>
      <name val="Calibri"/>
      <family val="2"/>
      <charset val="186"/>
      <scheme val="minor"/>
    </font>
    <font>
      <sz val="12"/>
      <color indexed="8"/>
      <name val="Calibri"/>
      <family val="2"/>
      <charset val="186"/>
    </font>
    <font>
      <u/>
      <sz val="9.35"/>
      <color theme="10"/>
      <name val="Calibri"/>
      <family val="2"/>
      <charset val="186"/>
    </font>
    <font>
      <sz val="8"/>
      <color indexed="81"/>
      <name val="Tahoma"/>
      <family val="2"/>
      <charset val="186"/>
    </font>
    <font>
      <sz val="10"/>
      <color indexed="81"/>
      <name val="Tahoma"/>
      <family val="2"/>
      <charset val="186"/>
    </font>
    <font>
      <b/>
      <sz val="12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1"/>
      <color rgb="FF3F3F3F"/>
      <name val="Calibri"/>
      <family val="2"/>
      <charset val="186"/>
      <scheme val="minor"/>
    </font>
    <font>
      <b/>
      <sz val="12"/>
      <name val="Calibri"/>
      <family val="2"/>
      <scheme val="minor"/>
    </font>
    <font>
      <b/>
      <sz val="12"/>
      <color rgb="FFFF0000"/>
      <name val="Calibri"/>
      <family val="2"/>
    </font>
    <font>
      <b/>
      <vertAlign val="superscript"/>
      <sz val="12"/>
      <color rgb="FFFF0000"/>
      <name val="Calibri"/>
      <family val="2"/>
    </font>
    <font>
      <sz val="12"/>
      <color theme="1"/>
      <name val="Times New Roman"/>
      <family val="1"/>
    </font>
    <font>
      <sz val="7"/>
      <color theme="1"/>
      <name val="Times New Roman"/>
      <family val="1"/>
    </font>
    <font>
      <b/>
      <sz val="12"/>
      <color rgb="FF000000"/>
      <name val="Calibri"/>
      <family val="2"/>
    </font>
    <font>
      <sz val="11"/>
      <color theme="0"/>
      <name val="Calibri"/>
      <family val="2"/>
      <charset val="186"/>
    </font>
    <font>
      <sz val="11"/>
      <color theme="0" tint="-0.34998626667073579"/>
      <name val="Calibri"/>
      <family val="2"/>
      <charset val="186"/>
    </font>
    <font>
      <b/>
      <sz val="12"/>
      <color theme="0" tint="-0.34998626667073579"/>
      <name val="Calibri"/>
      <family val="2"/>
    </font>
    <font>
      <b/>
      <sz val="11"/>
      <color theme="0" tint="-0.34998626667073579"/>
      <name val="Calibri"/>
      <family val="2"/>
    </font>
    <font>
      <sz val="12"/>
      <color theme="0" tint="-0.249977111117893"/>
      <name val="Calibri"/>
      <family val="2"/>
      <charset val="186"/>
    </font>
    <font>
      <sz val="12"/>
      <color theme="0" tint="-0.34998626667073579"/>
      <name val="Calibri"/>
      <family val="2"/>
      <charset val="186"/>
    </font>
    <font>
      <b/>
      <u/>
      <sz val="12"/>
      <color theme="0" tint="-0.34998626667073579"/>
      <name val="Calibri"/>
      <family val="2"/>
      <charset val="186"/>
    </font>
    <font>
      <b/>
      <sz val="12"/>
      <color theme="0"/>
      <name val="Calibri"/>
      <family val="2"/>
      <charset val="186"/>
      <scheme val="minor"/>
    </font>
    <font>
      <b/>
      <sz val="12"/>
      <color theme="1"/>
      <name val="Calibri"/>
      <family val="2"/>
      <scheme val="minor"/>
    </font>
    <font>
      <sz val="12"/>
      <color theme="0" tint="-0.249977111117893"/>
      <name val="Calibri"/>
      <family val="2"/>
      <charset val="186"/>
      <scheme val="minor"/>
    </font>
    <font>
      <b/>
      <sz val="12"/>
      <color theme="0" tint="-0.249977111117893"/>
      <name val="Calibri"/>
      <family val="2"/>
      <charset val="186"/>
      <scheme val="minor"/>
    </font>
    <font>
      <i/>
      <sz val="12"/>
      <color theme="0" tint="-0.249977111117893"/>
      <name val="Calibri"/>
      <family val="2"/>
      <charset val="186"/>
      <scheme val="minor"/>
    </font>
    <font>
      <sz val="11"/>
      <color theme="0" tint="-0.249977111117893"/>
      <name val="Calibri"/>
      <family val="2"/>
      <charset val="186"/>
      <scheme val="minor"/>
    </font>
    <font>
      <u/>
      <sz val="9.35"/>
      <color theme="0" tint="-0.249977111117893"/>
      <name val="Calibri"/>
      <family val="2"/>
      <charset val="186"/>
    </font>
    <font>
      <sz val="12"/>
      <color theme="0" tint="-0.34998626667073579"/>
      <name val="Calibri"/>
      <family val="2"/>
      <charset val="186"/>
      <scheme val="minor"/>
    </font>
    <font>
      <i/>
      <sz val="8"/>
      <color theme="0"/>
      <name val="Calibri"/>
      <family val="2"/>
      <charset val="186"/>
      <scheme val="minor"/>
    </font>
    <font>
      <i/>
      <sz val="12"/>
      <color rgb="FF000000"/>
      <name val="Arial"/>
      <family val="2"/>
      <charset val="186"/>
    </font>
    <font>
      <b/>
      <sz val="12"/>
      <color rgb="FFFF0000"/>
      <name val="Calibri"/>
      <family val="2"/>
      <scheme val="minor"/>
    </font>
    <font>
      <b/>
      <sz val="12"/>
      <color rgb="FF000000"/>
      <name val="Calibri"/>
      <family val="2"/>
      <charset val="186"/>
    </font>
    <font>
      <b/>
      <sz val="12"/>
      <color rgb="FF000000"/>
      <name val="Arial"/>
      <family val="2"/>
      <charset val="186"/>
    </font>
    <font>
      <i/>
      <sz val="11"/>
      <color rgb="FF000000"/>
      <name val="Arial"/>
      <family val="2"/>
      <charset val="186"/>
    </font>
    <font>
      <b/>
      <sz val="11"/>
      <color rgb="FF000000"/>
      <name val="Arial"/>
      <family val="2"/>
      <charset val="186"/>
    </font>
    <font>
      <sz val="11"/>
      <color rgb="FF000000"/>
      <name val="Arial"/>
      <family val="2"/>
      <charset val="1"/>
    </font>
    <font>
      <b/>
      <i/>
      <sz val="12"/>
      <color rgb="FF000000"/>
      <name val="Arial"/>
      <family val="2"/>
      <charset val="186"/>
    </font>
    <font>
      <b/>
      <sz val="11"/>
      <name val="Arial"/>
      <family val="2"/>
      <charset val="186"/>
    </font>
    <font>
      <b/>
      <sz val="12"/>
      <color rgb="FF000000"/>
      <name val="Arial"/>
      <family val="2"/>
      <charset val="1"/>
    </font>
    <font>
      <sz val="16"/>
      <color theme="1"/>
      <name val="Calibri"/>
      <family val="2"/>
      <charset val="186"/>
      <scheme val="minor"/>
    </font>
    <font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name val="Calibri"/>
      <family val="2"/>
      <scheme val="minor"/>
    </font>
    <font>
      <vertAlign val="superscript"/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CE181E"/>
      <name val="Calibri"/>
      <family val="2"/>
      <scheme val="minor"/>
    </font>
    <font>
      <b/>
      <sz val="12"/>
      <color theme="4" tint="-0.499984740745262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b/>
      <u/>
      <sz val="11"/>
      <color rgb="FFFF0000"/>
      <name val="Calibri"/>
      <family val="2"/>
    </font>
    <font>
      <sz val="11"/>
      <name val="Calibri"/>
      <family val="2"/>
      <charset val="186"/>
    </font>
    <font>
      <b/>
      <sz val="11"/>
      <color theme="1"/>
      <name val="Calibri"/>
      <family val="2"/>
      <charset val="186"/>
    </font>
    <font>
      <b/>
      <sz val="9"/>
      <color indexed="81"/>
      <name val="Tahoma"/>
      <family val="2"/>
    </font>
    <font>
      <sz val="12"/>
      <color rgb="FF222222"/>
      <name val="Calibri"/>
      <family val="2"/>
      <scheme val="minor"/>
    </font>
  </fonts>
  <fills count="4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2F2F2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E2D8"/>
        <bgColor rgb="FFFFD8CE"/>
      </patternFill>
    </fill>
    <fill>
      <patternFill patternType="solid">
        <fgColor theme="0"/>
        <bgColor rgb="FFD8EDFF"/>
      </patternFill>
    </fill>
    <fill>
      <patternFill patternType="solid">
        <fgColor theme="0"/>
        <bgColor rgb="FFDBFFAE"/>
      </patternFill>
    </fill>
    <fill>
      <patternFill patternType="solid">
        <fgColor rgb="FFAFABAB"/>
        <bgColor rgb="FFB3A2C7"/>
      </patternFill>
    </fill>
    <fill>
      <patternFill patternType="solid">
        <fgColor rgb="FFDBFFAE"/>
        <bgColor rgb="FFFFFFA6"/>
      </patternFill>
    </fill>
    <fill>
      <patternFill patternType="solid">
        <fgColor rgb="FFD8EDFF"/>
        <bgColor rgb="FFEEEEEE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969696"/>
      </patternFill>
    </fill>
    <fill>
      <patternFill patternType="solid">
        <fgColor theme="0" tint="-0.14999847407452621"/>
        <bgColor rgb="FFAFABAB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6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0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4" fillId="0" borderId="0"/>
    <xf numFmtId="0" fontId="5" fillId="0" borderId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8" fillId="3" borderId="1" applyNumberFormat="0" applyAlignment="0" applyProtection="0"/>
    <xf numFmtId="165" fontId="9" fillId="0" borderId="0" applyFont="0" applyFill="0" applyBorder="0" applyAlignment="0" applyProtection="0"/>
    <xf numFmtId="166" fontId="9" fillId="0" borderId="0" applyFill="0" applyBorder="0" applyAlignment="0" applyProtection="0"/>
    <xf numFmtId="165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0" fillId="5" borderId="0" applyNumberFormat="0" applyBorder="0" applyAlignment="0" applyProtection="0"/>
    <xf numFmtId="0" fontId="11" fillId="18" borderId="13" applyNumberFormat="0" applyAlignment="0" applyProtection="0"/>
    <xf numFmtId="43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9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14" fillId="0" borderId="0" applyNumberFormat="0" applyFill="0" applyBorder="0" applyAlignment="0" applyProtection="0"/>
    <xf numFmtId="2" fontId="9" fillId="0" borderId="0" applyFont="0" applyFill="0" applyBorder="0" applyAlignment="0" applyProtection="0"/>
    <xf numFmtId="0" fontId="15" fillId="6" borderId="0" applyNumberFormat="0" applyBorder="0" applyAlignment="0" applyProtection="0"/>
    <xf numFmtId="0" fontId="16" fillId="0" borderId="14" applyNumberFormat="0" applyFill="0" applyAlignment="0" applyProtection="0"/>
    <xf numFmtId="0" fontId="17" fillId="0" borderId="15" applyNumberFormat="0" applyFill="0" applyAlignment="0" applyProtection="0"/>
    <xf numFmtId="0" fontId="18" fillId="0" borderId="16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43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20" fillId="0" borderId="17" applyNumberFormat="0" applyFill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21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9" fillId="19" borderId="18" applyNumberFormat="0" applyAlignment="0" applyProtection="0"/>
    <xf numFmtId="0" fontId="22" fillId="0" borderId="0"/>
    <xf numFmtId="0" fontId="9" fillId="0" borderId="0"/>
    <xf numFmtId="0" fontId="9" fillId="0" borderId="0"/>
    <xf numFmtId="0" fontId="4" fillId="0" borderId="0"/>
    <xf numFmtId="0" fontId="23" fillId="0" borderId="0"/>
    <xf numFmtId="0" fontId="22" fillId="0" borderId="0"/>
    <xf numFmtId="0" fontId="9" fillId="0" borderId="0"/>
    <xf numFmtId="0" fontId="23" fillId="0" borderId="0"/>
    <xf numFmtId="9" fontId="6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9" fillId="20" borderId="19" applyNumberFormat="0" applyFont="0" applyAlignment="0" applyProtection="0"/>
    <xf numFmtId="9" fontId="2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9" fillId="0" borderId="0" applyNumberFormat="0" applyFont="0" applyFill="0" applyBorder="0" applyAlignment="0" applyProtection="0">
      <alignment vertical="top"/>
    </xf>
    <xf numFmtId="0" fontId="13" fillId="0" borderId="0"/>
    <xf numFmtId="0" fontId="13" fillId="0" borderId="0"/>
    <xf numFmtId="0" fontId="9" fillId="0" borderId="0"/>
    <xf numFmtId="0" fontId="2" fillId="0" borderId="0"/>
    <xf numFmtId="0" fontId="54" fillId="0" borderId="0" applyNumberFormat="0" applyFill="0" applyBorder="0" applyAlignment="0" applyProtection="0">
      <alignment vertical="top"/>
      <protection locked="0"/>
    </xf>
    <xf numFmtId="0" fontId="61" fillId="3" borderId="31" applyNumberFormat="0" applyAlignment="0" applyProtection="0"/>
    <xf numFmtId="0" fontId="1" fillId="0" borderId="0"/>
    <xf numFmtId="0" fontId="9" fillId="0" borderId="0"/>
    <xf numFmtId="0" fontId="1" fillId="0" borderId="0"/>
  </cellStyleXfs>
  <cellXfs count="569">
    <xf numFmtId="0" fontId="0" fillId="0" borderId="0" xfId="0"/>
    <xf numFmtId="0" fontId="25" fillId="0" borderId="0" xfId="0" applyFont="1"/>
    <xf numFmtId="3" fontId="26" fillId="0" borderId="0" xfId="63" applyNumberFormat="1" applyFont="1" applyBorder="1" applyAlignment="1">
      <alignment vertical="center"/>
    </xf>
    <xf numFmtId="0" fontId="27" fillId="0" borderId="0" xfId="51" applyFont="1" applyAlignment="1">
      <alignment vertical="center"/>
    </xf>
    <xf numFmtId="172" fontId="27" fillId="0" borderId="0" xfId="51" applyNumberFormat="1" applyFont="1" applyAlignment="1">
      <alignment vertical="center"/>
    </xf>
    <xf numFmtId="0" fontId="28" fillId="0" borderId="19" xfId="51" applyFont="1" applyFill="1" applyBorder="1" applyAlignment="1">
      <alignment vertical="center"/>
    </xf>
    <xf numFmtId="0" fontId="29" fillId="0" borderId="19" xfId="51" applyFont="1" applyFill="1" applyBorder="1" applyAlignment="1">
      <alignment vertical="center"/>
    </xf>
    <xf numFmtId="0" fontId="30" fillId="0" borderId="19" xfId="51" applyFont="1" applyFill="1" applyBorder="1" applyAlignment="1">
      <alignment vertical="center" shrinkToFit="1"/>
    </xf>
    <xf numFmtId="0" fontId="29" fillId="0" borderId="0" xfId="51" applyFont="1" applyFill="1" applyAlignment="1">
      <alignment vertical="center"/>
    </xf>
    <xf numFmtId="0" fontId="29" fillId="21" borderId="19" xfId="51" applyFont="1" applyFill="1" applyBorder="1" applyAlignment="1">
      <alignment vertical="center"/>
    </xf>
    <xf numFmtId="0" fontId="30" fillId="21" borderId="19" xfId="51" applyFont="1" applyFill="1" applyBorder="1" applyAlignment="1">
      <alignment vertical="center"/>
    </xf>
    <xf numFmtId="0" fontId="31" fillId="0" borderId="19" xfId="51" applyFont="1" applyFill="1" applyBorder="1" applyAlignment="1">
      <alignment vertical="center"/>
    </xf>
    <xf numFmtId="0" fontId="32" fillId="0" borderId="0" xfId="51" applyFont="1" applyFill="1" applyAlignment="1">
      <alignment vertical="center"/>
    </xf>
    <xf numFmtId="0" fontId="33" fillId="0" borderId="19" xfId="51" applyFont="1" applyFill="1" applyBorder="1" applyAlignment="1">
      <alignment horizontal="right" vertical="center"/>
    </xf>
    <xf numFmtId="169" fontId="33" fillId="0" borderId="19" xfId="62" applyNumberFormat="1" applyFont="1" applyFill="1" applyBorder="1" applyAlignment="1">
      <alignment vertical="center"/>
    </xf>
    <xf numFmtId="169" fontId="33" fillId="0" borderId="19" xfId="62" applyNumberFormat="1" applyFont="1" applyBorder="1" applyAlignment="1">
      <alignment vertical="center"/>
    </xf>
    <xf numFmtId="0" fontId="29" fillId="0" borderId="0" xfId="51" applyFont="1" applyAlignment="1">
      <alignment vertical="center"/>
    </xf>
    <xf numFmtId="2" fontId="29" fillId="0" borderId="19" xfId="51" applyNumberFormat="1" applyFont="1" applyFill="1" applyBorder="1" applyAlignment="1">
      <alignment horizontal="left" vertical="center" indent="2"/>
    </xf>
    <xf numFmtId="173" fontId="30" fillId="0" borderId="19" xfId="51" applyNumberFormat="1" applyFont="1" applyFill="1" applyBorder="1" applyAlignment="1">
      <alignment horizontal="center" vertical="center"/>
    </xf>
    <xf numFmtId="173" fontId="29" fillId="0" borderId="19" xfId="51" applyNumberFormat="1" applyFont="1" applyFill="1" applyBorder="1" applyAlignment="1">
      <alignment vertical="center" shrinkToFit="1"/>
    </xf>
    <xf numFmtId="172" fontId="30" fillId="0" borderId="19" xfId="51" applyNumberFormat="1" applyFont="1" applyFill="1" applyBorder="1" applyAlignment="1">
      <alignment vertical="center" shrinkToFit="1"/>
    </xf>
    <xf numFmtId="172" fontId="29" fillId="0" borderId="19" xfId="51" applyNumberFormat="1" applyFont="1" applyFill="1" applyBorder="1" applyAlignment="1">
      <alignment vertical="center" shrinkToFit="1"/>
    </xf>
    <xf numFmtId="174" fontId="30" fillId="0" borderId="19" xfId="51" applyNumberFormat="1" applyFont="1" applyFill="1" applyBorder="1" applyAlignment="1">
      <alignment horizontal="center" vertical="center"/>
    </xf>
    <xf numFmtId="175" fontId="33" fillId="0" borderId="19" xfId="62" applyNumberFormat="1" applyFont="1" applyFill="1" applyBorder="1" applyAlignment="1">
      <alignment vertical="center"/>
    </xf>
    <xf numFmtId="0" fontId="33" fillId="0" borderId="0" xfId="51" applyFont="1" applyFill="1" applyAlignment="1">
      <alignment vertical="center"/>
    </xf>
    <xf numFmtId="0" fontId="29" fillId="0" borderId="19" xfId="51" applyFont="1" applyBorder="1" applyAlignment="1">
      <alignment vertical="center"/>
    </xf>
    <xf numFmtId="174" fontId="30" fillId="0" borderId="19" xfId="51" applyNumberFormat="1" applyFont="1" applyFill="1" applyBorder="1" applyAlignment="1">
      <alignment vertical="center" shrinkToFit="1"/>
    </xf>
    <xf numFmtId="174" fontId="30" fillId="0" borderId="19" xfId="51" applyNumberFormat="1" applyFont="1" applyBorder="1" applyAlignment="1">
      <alignment vertical="center" shrinkToFit="1"/>
    </xf>
    <xf numFmtId="174" fontId="29" fillId="0" borderId="19" xfId="51" applyNumberFormat="1" applyFont="1" applyFill="1" applyBorder="1" applyAlignment="1">
      <alignment vertical="center"/>
    </xf>
    <xf numFmtId="174" fontId="29" fillId="0" borderId="19" xfId="51" applyNumberFormat="1" applyFont="1" applyFill="1" applyBorder="1" applyAlignment="1">
      <alignment vertical="center" shrinkToFit="1"/>
    </xf>
    <xf numFmtId="174" fontId="33" fillId="0" borderId="19" xfId="51" applyNumberFormat="1" applyFont="1" applyFill="1" applyBorder="1" applyAlignment="1">
      <alignment vertical="center" shrinkToFit="1"/>
    </xf>
    <xf numFmtId="174" fontId="33" fillId="0" borderId="19" xfId="51" applyNumberFormat="1" applyFont="1" applyBorder="1" applyAlignment="1">
      <alignment vertical="center" shrinkToFit="1"/>
    </xf>
    <xf numFmtId="0" fontId="28" fillId="0" borderId="19" xfId="51" applyFont="1" applyFill="1" applyBorder="1" applyAlignment="1">
      <alignment horizontal="right" vertical="center"/>
    </xf>
    <xf numFmtId="174" fontId="28" fillId="0" borderId="19" xfId="51" applyNumberFormat="1" applyFont="1" applyFill="1" applyBorder="1" applyAlignment="1">
      <alignment vertical="center" shrinkToFit="1"/>
    </xf>
    <xf numFmtId="174" fontId="28" fillId="0" borderId="19" xfId="51" applyNumberFormat="1" applyFont="1" applyBorder="1" applyAlignment="1">
      <alignment vertical="center" shrinkToFit="1"/>
    </xf>
    <xf numFmtId="0" fontId="30" fillId="0" borderId="19" xfId="51" applyFont="1" applyFill="1" applyBorder="1" applyAlignment="1">
      <alignment vertical="center" wrapText="1"/>
    </xf>
    <xf numFmtId="175" fontId="30" fillId="0" borderId="19" xfId="51" applyNumberFormat="1" applyFont="1" applyFill="1" applyBorder="1" applyAlignment="1">
      <alignment horizontal="center" vertical="center" shrinkToFit="1"/>
    </xf>
    <xf numFmtId="175" fontId="30" fillId="0" borderId="19" xfId="51" applyNumberFormat="1" applyFont="1" applyBorder="1" applyAlignment="1">
      <alignment horizontal="center" vertical="center" shrinkToFit="1"/>
    </xf>
    <xf numFmtId="0" fontId="29" fillId="25" borderId="19" xfId="63" applyFont="1" applyFill="1" applyBorder="1" applyAlignment="1">
      <alignment horizontal="right" vertical="center"/>
    </xf>
    <xf numFmtId="10" fontId="30" fillId="25" borderId="22" xfId="83" applyNumberFormat="1" applyFont="1" applyFill="1" applyBorder="1" applyAlignment="1">
      <alignment horizontal="center" vertical="center"/>
    </xf>
    <xf numFmtId="176" fontId="29" fillId="25" borderId="0" xfId="3" applyNumberFormat="1" applyFont="1" applyFill="1"/>
    <xf numFmtId="173" fontId="28" fillId="0" borderId="19" xfId="51" applyNumberFormat="1" applyFont="1" applyFill="1" applyBorder="1" applyAlignment="1">
      <alignment vertical="center" shrinkToFit="1"/>
    </xf>
    <xf numFmtId="173" fontId="28" fillId="0" borderId="19" xfId="51" applyNumberFormat="1" applyFont="1" applyBorder="1" applyAlignment="1">
      <alignment vertical="center" shrinkToFit="1"/>
    </xf>
    <xf numFmtId="0" fontId="28" fillId="25" borderId="19" xfId="51" applyFont="1" applyFill="1" applyBorder="1" applyAlignment="1">
      <alignment horizontal="right" vertical="center" wrapText="1"/>
    </xf>
    <xf numFmtId="10" fontId="28" fillId="25" borderId="2" xfId="51" applyNumberFormat="1" applyFont="1" applyFill="1" applyBorder="1" applyAlignment="1">
      <alignment horizontal="center" vertical="center"/>
    </xf>
    <xf numFmtId="0" fontId="28" fillId="25" borderId="23" xfId="51" applyFont="1" applyFill="1" applyBorder="1" applyAlignment="1">
      <alignment horizontal="center" vertical="center"/>
    </xf>
    <xf numFmtId="173" fontId="30" fillId="0" borderId="19" xfId="51" applyNumberFormat="1" applyFont="1" applyFill="1" applyBorder="1" applyAlignment="1">
      <alignment vertical="center" shrinkToFit="1"/>
    </xf>
    <xf numFmtId="174" fontId="28" fillId="25" borderId="2" xfId="51" applyNumberFormat="1" applyFont="1" applyFill="1" applyBorder="1" applyAlignment="1">
      <alignment horizontal="center" vertical="center"/>
    </xf>
    <xf numFmtId="0" fontId="28" fillId="25" borderId="23" xfId="51" applyFont="1" applyFill="1" applyBorder="1" applyAlignment="1">
      <alignment vertical="center"/>
    </xf>
    <xf numFmtId="0" fontId="28" fillId="25" borderId="19" xfId="51" applyFont="1" applyFill="1" applyBorder="1" applyAlignment="1">
      <alignment horizontal="right" vertical="center"/>
    </xf>
    <xf numFmtId="177" fontId="28" fillId="25" borderId="2" xfId="51" applyNumberFormat="1" applyFont="1" applyFill="1" applyBorder="1" applyAlignment="1">
      <alignment horizontal="center" vertical="center"/>
    </xf>
    <xf numFmtId="0" fontId="27" fillId="0" borderId="0" xfId="51" applyFont="1" applyFill="1" applyAlignment="1">
      <alignment vertical="center"/>
    </xf>
    <xf numFmtId="0" fontId="34" fillId="0" borderId="0" xfId="51" applyFont="1" applyFill="1" applyBorder="1" applyAlignment="1">
      <alignment horizontal="right" vertical="center" wrapText="1"/>
    </xf>
    <xf numFmtId="2" fontId="34" fillId="0" borderId="0" xfId="51" applyNumberFormat="1" applyFont="1" applyFill="1" applyBorder="1" applyAlignment="1">
      <alignment horizontal="center" vertical="center"/>
    </xf>
    <xf numFmtId="0" fontId="34" fillId="0" borderId="0" xfId="51" applyFont="1" applyFill="1" applyBorder="1" applyAlignment="1">
      <alignment horizontal="center" vertical="center"/>
    </xf>
    <xf numFmtId="173" fontId="34" fillId="0" borderId="0" xfId="51" applyNumberFormat="1" applyFont="1" applyBorder="1" applyAlignment="1">
      <alignment vertical="center" shrinkToFit="1"/>
    </xf>
    <xf numFmtId="173" fontId="35" fillId="0" borderId="0" xfId="51" applyNumberFormat="1" applyFont="1" applyFill="1" applyBorder="1" applyAlignment="1">
      <alignment vertical="center" shrinkToFit="1"/>
    </xf>
    <xf numFmtId="175" fontId="4" fillId="0" borderId="0" xfId="3" applyNumberFormat="1" applyFill="1"/>
    <xf numFmtId="0" fontId="27" fillId="0" borderId="0" xfId="51" applyFont="1" applyAlignment="1">
      <alignment horizontal="right" vertical="center"/>
    </xf>
    <xf numFmtId="176" fontId="36" fillId="0" borderId="0" xfId="3" applyNumberFormat="1" applyFont="1" applyFill="1"/>
    <xf numFmtId="2" fontId="27" fillId="0" borderId="0" xfId="51" applyNumberFormat="1" applyFont="1" applyAlignment="1">
      <alignment horizontal="center" vertical="center"/>
    </xf>
    <xf numFmtId="0" fontId="29" fillId="0" borderId="0" xfId="64" applyFont="1" applyBorder="1"/>
    <xf numFmtId="0" fontId="30" fillId="0" borderId="0" xfId="64" applyFont="1" applyBorder="1"/>
    <xf numFmtId="0" fontId="37" fillId="0" borderId="0" xfId="64" applyFont="1" applyBorder="1"/>
    <xf numFmtId="0" fontId="37" fillId="21" borderId="19" xfId="64" applyFont="1" applyFill="1" applyBorder="1"/>
    <xf numFmtId="0" fontId="29" fillId="21" borderId="19" xfId="64" applyFont="1" applyFill="1" applyBorder="1"/>
    <xf numFmtId="0" fontId="30" fillId="21" borderId="19" xfId="64" applyFont="1" applyFill="1" applyBorder="1"/>
    <xf numFmtId="0" fontId="28" fillId="0" borderId="19" xfId="64" applyFont="1" applyFill="1" applyBorder="1"/>
    <xf numFmtId="0" fontId="29" fillId="0" borderId="19" xfId="64" applyFont="1" applyFill="1" applyBorder="1"/>
    <xf numFmtId="0" fontId="29" fillId="0" borderId="0" xfId="64" applyFont="1" applyFill="1" applyBorder="1"/>
    <xf numFmtId="0" fontId="29" fillId="0" borderId="19" xfId="64" applyFont="1" applyFill="1" applyBorder="1" applyAlignment="1">
      <alignment horizontal="center"/>
    </xf>
    <xf numFmtId="4" fontId="29" fillId="0" borderId="19" xfId="64" applyNumberFormat="1" applyFont="1" applyFill="1" applyBorder="1"/>
    <xf numFmtId="3" fontId="29" fillId="0" borderId="19" xfId="64" applyNumberFormat="1" applyFont="1" applyFill="1" applyBorder="1"/>
    <xf numFmtId="0" fontId="28" fillId="0" borderId="19" xfId="64" applyFont="1" applyFill="1" applyBorder="1" applyAlignment="1">
      <alignment wrapText="1"/>
    </xf>
    <xf numFmtId="0" fontId="28" fillId="0" borderId="19" xfId="64" applyFont="1" applyFill="1" applyBorder="1" applyAlignment="1">
      <alignment horizontal="center"/>
    </xf>
    <xf numFmtId="3" fontId="33" fillId="0" borderId="19" xfId="64" applyNumberFormat="1" applyFont="1" applyFill="1" applyBorder="1"/>
    <xf numFmtId="3" fontId="28" fillId="0" borderId="19" xfId="64" applyNumberFormat="1" applyFont="1" applyFill="1" applyBorder="1"/>
    <xf numFmtId="0" fontId="33" fillId="0" borderId="0" xfId="64" applyFont="1" applyFill="1" applyBorder="1"/>
    <xf numFmtId="0" fontId="29" fillId="0" borderId="19" xfId="64" applyFont="1" applyFill="1" applyBorder="1" applyAlignment="1">
      <alignment wrapText="1"/>
    </xf>
    <xf numFmtId="0" fontId="29" fillId="0" borderId="25" xfId="64" applyFont="1" applyFill="1" applyBorder="1" applyAlignment="1">
      <alignment horizontal="center"/>
    </xf>
    <xf numFmtId="0" fontId="29" fillId="0" borderId="19" xfId="64" applyFont="1" applyFill="1" applyBorder="1" applyAlignment="1">
      <alignment horizontal="left" wrapText="1" indent="2"/>
    </xf>
    <xf numFmtId="9" fontId="29" fillId="0" borderId="26" xfId="64" applyNumberFormat="1" applyFont="1" applyFill="1" applyBorder="1"/>
    <xf numFmtId="4" fontId="29" fillId="23" borderId="19" xfId="64" applyNumberFormat="1" applyFont="1" applyFill="1" applyBorder="1"/>
    <xf numFmtId="3" fontId="29" fillId="0" borderId="23" xfId="64" applyNumberFormat="1" applyFont="1" applyFill="1" applyBorder="1"/>
    <xf numFmtId="3" fontId="28" fillId="0" borderId="19" xfId="64" applyNumberFormat="1" applyFont="1" applyFill="1" applyBorder="1" applyAlignment="1">
      <alignment shrinkToFit="1"/>
    </xf>
    <xf numFmtId="0" fontId="28" fillId="0" borderId="0" xfId="64" applyFont="1" applyFill="1" applyBorder="1"/>
    <xf numFmtId="3" fontId="28" fillId="0" borderId="25" xfId="64" applyNumberFormat="1" applyFont="1" applyFill="1" applyBorder="1"/>
    <xf numFmtId="3" fontId="28" fillId="0" borderId="2" xfId="64" applyNumberFormat="1" applyFont="1" applyFill="1" applyBorder="1"/>
    <xf numFmtId="3" fontId="28" fillId="0" borderId="23" xfId="64" applyNumberFormat="1" applyFont="1" applyFill="1" applyBorder="1"/>
    <xf numFmtId="0" fontId="30" fillId="0" borderId="0" xfId="64" applyFont="1" applyFill="1" applyBorder="1" applyAlignment="1">
      <alignment wrapText="1"/>
    </xf>
    <xf numFmtId="0" fontId="30" fillId="0" borderId="0" xfId="64" applyFont="1" applyFill="1" applyBorder="1" applyAlignment="1">
      <alignment horizontal="center"/>
    </xf>
    <xf numFmtId="3" fontId="29" fillId="0" borderId="0" xfId="64" applyNumberFormat="1" applyFont="1" applyFill="1" applyBorder="1"/>
    <xf numFmtId="3" fontId="30" fillId="0" borderId="0" xfId="64" applyNumberFormat="1" applyFont="1" applyFill="1" applyBorder="1"/>
    <xf numFmtId="4" fontId="29" fillId="0" borderId="0" xfId="64" applyNumberFormat="1" applyFont="1" applyBorder="1"/>
    <xf numFmtId="0" fontId="40" fillId="0" borderId="0" xfId="3" applyFont="1" applyFill="1" applyAlignment="1">
      <alignment vertical="center"/>
    </xf>
    <xf numFmtId="0" fontId="41" fillId="0" borderId="0" xfId="3" applyFont="1" applyAlignment="1">
      <alignment vertical="center"/>
    </xf>
    <xf numFmtId="0" fontId="42" fillId="0" borderId="3" xfId="3" applyFont="1" applyBorder="1" applyAlignment="1">
      <alignment vertical="center"/>
    </xf>
    <xf numFmtId="0" fontId="41" fillId="0" borderId="4" xfId="3" applyFont="1" applyBorder="1" applyAlignment="1">
      <alignment vertical="center"/>
    </xf>
    <xf numFmtId="0" fontId="41" fillId="0" borderId="5" xfId="3" applyFont="1" applyBorder="1" applyAlignment="1">
      <alignment vertical="center"/>
    </xf>
    <xf numFmtId="0" fontId="41" fillId="0" borderId="6" xfId="3" applyFont="1" applyBorder="1" applyAlignment="1">
      <alignment vertical="center"/>
    </xf>
    <xf numFmtId="0" fontId="41" fillId="0" borderId="0" xfId="3" applyFont="1" applyBorder="1" applyAlignment="1">
      <alignment vertical="center"/>
    </xf>
    <xf numFmtId="0" fontId="41" fillId="0" borderId="20" xfId="3" applyFont="1" applyBorder="1" applyAlignment="1">
      <alignment vertical="center"/>
    </xf>
    <xf numFmtId="0" fontId="41" fillId="0" borderId="0" xfId="3" applyFont="1" applyFill="1" applyAlignment="1">
      <alignment vertical="center"/>
    </xf>
    <xf numFmtId="0" fontId="43" fillId="0" borderId="0" xfId="3" applyFont="1" applyAlignment="1">
      <alignment vertical="center"/>
    </xf>
    <xf numFmtId="3" fontId="44" fillId="0" borderId="19" xfId="3" applyNumberFormat="1" applyFont="1" applyFill="1" applyBorder="1" applyAlignment="1">
      <alignment horizontal="center" vertical="center"/>
    </xf>
    <xf numFmtId="0" fontId="45" fillId="0" borderId="0" xfId="3" applyFont="1" applyFill="1" applyBorder="1" applyAlignment="1">
      <alignment vertical="center" wrapText="1"/>
    </xf>
    <xf numFmtId="3" fontId="46" fillId="0" borderId="0" xfId="3" applyNumberFormat="1" applyFont="1" applyFill="1" applyBorder="1" applyAlignment="1">
      <alignment horizontal="center" vertical="center"/>
    </xf>
    <xf numFmtId="10" fontId="46" fillId="0" borderId="0" xfId="85" applyNumberFormat="1" applyFont="1" applyFill="1" applyBorder="1" applyAlignment="1">
      <alignment horizontal="center" vertical="center"/>
    </xf>
    <xf numFmtId="0" fontId="44" fillId="0" borderId="27" xfId="3" applyFont="1" applyFill="1" applyBorder="1" applyAlignment="1">
      <alignment horizontal="center" vertical="center"/>
    </xf>
    <xf numFmtId="3" fontId="45" fillId="0" borderId="0" xfId="3" applyNumberFormat="1" applyFont="1" applyFill="1" applyBorder="1" applyAlignment="1">
      <alignment horizontal="center" vertical="center"/>
    </xf>
    <xf numFmtId="173" fontId="45" fillId="0" borderId="19" xfId="3" applyNumberFormat="1" applyFont="1" applyFill="1" applyBorder="1" applyAlignment="1">
      <alignment horizontal="center" vertical="center"/>
    </xf>
    <xf numFmtId="0" fontId="44" fillId="0" borderId="27" xfId="3" applyFont="1" applyFill="1" applyBorder="1" applyAlignment="1">
      <alignment horizontal="center" vertical="center" wrapText="1"/>
    </xf>
    <xf numFmtId="10" fontId="41" fillId="0" borderId="0" xfId="85" applyNumberFormat="1" applyFont="1" applyFill="1" applyAlignment="1">
      <alignment vertical="center"/>
    </xf>
    <xf numFmtId="176" fontId="46" fillId="0" borderId="0" xfId="85" applyNumberFormat="1" applyFont="1" applyFill="1" applyBorder="1" applyAlignment="1">
      <alignment horizontal="center" vertical="center"/>
    </xf>
    <xf numFmtId="176" fontId="41" fillId="0" borderId="0" xfId="3" applyNumberFormat="1" applyFont="1" applyFill="1" applyAlignment="1">
      <alignment vertical="center"/>
    </xf>
    <xf numFmtId="0" fontId="44" fillId="0" borderId="27" xfId="3" applyFont="1" applyFill="1" applyBorder="1" applyAlignment="1">
      <alignment horizontal="right" vertical="center"/>
    </xf>
    <xf numFmtId="0" fontId="44" fillId="0" borderId="0" xfId="3" applyFont="1" applyFill="1" applyBorder="1" applyAlignment="1">
      <alignment horizontal="center" vertical="center"/>
    </xf>
    <xf numFmtId="0" fontId="41" fillId="0" borderId="0" xfId="3" applyFont="1" applyFill="1" applyAlignment="1">
      <alignment horizontal="right" vertical="center" wrapText="1"/>
    </xf>
    <xf numFmtId="178" fontId="46" fillId="0" borderId="0" xfId="85" applyNumberFormat="1" applyFont="1" applyFill="1" applyBorder="1" applyAlignment="1">
      <alignment horizontal="left" vertical="center"/>
    </xf>
    <xf numFmtId="0" fontId="41" fillId="0" borderId="0" xfId="3" applyFont="1" applyFill="1" applyAlignment="1">
      <alignment horizontal="right" vertical="center"/>
    </xf>
    <xf numFmtId="0" fontId="45" fillId="0" borderId="0" xfId="3" applyFont="1" applyFill="1" applyBorder="1" applyAlignment="1">
      <alignment horizontal="right" vertical="center" wrapText="1"/>
    </xf>
    <xf numFmtId="10" fontId="45" fillId="0" borderId="0" xfId="85" applyNumberFormat="1" applyFont="1" applyFill="1" applyBorder="1" applyAlignment="1">
      <alignment horizontal="center" vertical="center"/>
    </xf>
    <xf numFmtId="9" fontId="41" fillId="0" borderId="0" xfId="3" applyNumberFormat="1" applyFont="1" applyFill="1" applyAlignment="1">
      <alignment vertical="center"/>
    </xf>
    <xf numFmtId="0" fontId="46" fillId="0" borderId="0" xfId="3" applyFont="1" applyFill="1" applyBorder="1" applyAlignment="1">
      <alignment horizontal="right" vertical="center" wrapText="1"/>
    </xf>
    <xf numFmtId="10" fontId="46" fillId="0" borderId="0" xfId="3" applyNumberFormat="1" applyFont="1" applyFill="1" applyBorder="1" applyAlignment="1">
      <alignment horizontal="center" vertical="center" wrapText="1"/>
    </xf>
    <xf numFmtId="176" fontId="47" fillId="0" borderId="0" xfId="85" applyNumberFormat="1" applyFont="1" applyFill="1" applyAlignment="1">
      <alignment horizontal="center" vertical="center"/>
    </xf>
    <xf numFmtId="173" fontId="41" fillId="0" borderId="0" xfId="3" applyNumberFormat="1" applyFont="1" applyFill="1" applyAlignment="1">
      <alignment vertical="center"/>
    </xf>
    <xf numFmtId="10" fontId="41" fillId="0" borderId="0" xfId="3" applyNumberFormat="1" applyFont="1" applyFill="1" applyAlignment="1">
      <alignment vertical="center"/>
    </xf>
    <xf numFmtId="10" fontId="41" fillId="0" borderId="0" xfId="85" applyNumberFormat="1" applyFont="1" applyAlignment="1">
      <alignment vertical="center"/>
    </xf>
    <xf numFmtId="10" fontId="41" fillId="0" borderId="0" xfId="3" applyNumberFormat="1" applyFont="1" applyAlignment="1">
      <alignment vertical="center"/>
    </xf>
    <xf numFmtId="0" fontId="40" fillId="0" borderId="0" xfId="65" applyFont="1" applyFill="1" applyAlignment="1">
      <alignment vertical="center"/>
    </xf>
    <xf numFmtId="0" fontId="4" fillId="0" borderId="0" xfId="65" applyFont="1"/>
    <xf numFmtId="0" fontId="41" fillId="0" borderId="0" xfId="65" applyFont="1"/>
    <xf numFmtId="0" fontId="41" fillId="0" borderId="3" xfId="65" applyFont="1" applyBorder="1"/>
    <xf numFmtId="0" fontId="41" fillId="0" borderId="4" xfId="65" applyFont="1" applyBorder="1"/>
    <xf numFmtId="0" fontId="41" fillId="0" borderId="5" xfId="65" applyFont="1" applyBorder="1"/>
    <xf numFmtId="0" fontId="41" fillId="0" borderId="0" xfId="65" applyFont="1" applyBorder="1"/>
    <xf numFmtId="0" fontId="42" fillId="0" borderId="6" xfId="65" applyFont="1" applyBorder="1"/>
    <xf numFmtId="0" fontId="41" fillId="0" borderId="20" xfId="65" applyFont="1" applyBorder="1"/>
    <xf numFmtId="0" fontId="41" fillId="0" borderId="6" xfId="65" applyFont="1" applyBorder="1"/>
    <xf numFmtId="0" fontId="41" fillId="0" borderId="10" xfId="65" applyFont="1" applyBorder="1"/>
    <xf numFmtId="0" fontId="41" fillId="0" borderId="11" xfId="65" applyFont="1" applyBorder="1"/>
    <xf numFmtId="0" fontId="41" fillId="0" borderId="12" xfId="65" applyFont="1" applyBorder="1"/>
    <xf numFmtId="0" fontId="29" fillId="0" borderId="25" xfId="65" applyFont="1" applyFill="1" applyBorder="1" applyAlignment="1">
      <alignment vertical="center"/>
    </xf>
    <xf numFmtId="0" fontId="29" fillId="0" borderId="28" xfId="65" applyFont="1" applyFill="1" applyBorder="1" applyAlignment="1">
      <alignment vertical="center"/>
    </xf>
    <xf numFmtId="0" fontId="29" fillId="0" borderId="23" xfId="65" applyFont="1" applyFill="1" applyBorder="1" applyAlignment="1">
      <alignment vertical="center"/>
    </xf>
    <xf numFmtId="0" fontId="30" fillId="0" borderId="25" xfId="65" applyFont="1" applyFill="1" applyBorder="1" applyAlignment="1">
      <alignment vertical="center" wrapText="1"/>
    </xf>
    <xf numFmtId="0" fontId="30" fillId="0" borderId="28" xfId="65" applyFont="1" applyFill="1" applyBorder="1" applyAlignment="1">
      <alignment horizontal="center" vertical="center"/>
    </xf>
    <xf numFmtId="0" fontId="30" fillId="0" borderId="23" xfId="65" applyFont="1" applyFill="1" applyBorder="1" applyAlignment="1">
      <alignment vertical="center" wrapText="1"/>
    </xf>
    <xf numFmtId="0" fontId="30" fillId="21" borderId="19" xfId="46" applyFont="1" applyFill="1" applyBorder="1" applyAlignment="1" applyProtection="1">
      <alignment horizontal="center" vertical="center"/>
      <protection locked="0"/>
    </xf>
    <xf numFmtId="0" fontId="30" fillId="21" borderId="19" xfId="65" applyFont="1" applyFill="1" applyBorder="1" applyAlignment="1">
      <alignment horizontal="center" vertical="center" wrapText="1"/>
    </xf>
    <xf numFmtId="0" fontId="29" fillId="27" borderId="19" xfId="65" applyFont="1" applyFill="1" applyBorder="1" applyAlignment="1">
      <alignment vertical="center"/>
    </xf>
    <xf numFmtId="0" fontId="29" fillId="0" borderId="19" xfId="46" applyNumberFormat="1" applyFont="1" applyFill="1" applyBorder="1" applyAlignment="1" applyProtection="1">
      <alignment horizontal="center" vertical="center" wrapText="1"/>
      <protection locked="0"/>
    </xf>
    <xf numFmtId="2" fontId="29" fillId="0" borderId="19" xfId="65" applyNumberFormat="1" applyFont="1" applyFill="1" applyBorder="1" applyAlignment="1">
      <alignment horizontal="center" vertical="center"/>
    </xf>
    <xf numFmtId="176" fontId="41" fillId="0" borderId="0" xfId="86" applyNumberFormat="1" applyFont="1"/>
    <xf numFmtId="0" fontId="41" fillId="0" borderId="0" xfId="65" applyFont="1" applyFill="1"/>
    <xf numFmtId="2" fontId="41" fillId="0" borderId="0" xfId="65" applyNumberFormat="1" applyFont="1" applyFill="1"/>
    <xf numFmtId="1" fontId="41" fillId="0" borderId="0" xfId="65" applyNumberFormat="1" applyFont="1" applyFill="1"/>
    <xf numFmtId="0" fontId="48" fillId="0" borderId="0" xfId="65" applyFont="1"/>
    <xf numFmtId="2" fontId="4" fillId="0" borderId="0" xfId="65" applyNumberFormat="1" applyFont="1"/>
    <xf numFmtId="0" fontId="4" fillId="0" borderId="2" xfId="65" applyFont="1" applyBorder="1"/>
    <xf numFmtId="164" fontId="4" fillId="0" borderId="3" xfId="65" applyNumberFormat="1" applyFont="1" applyBorder="1"/>
    <xf numFmtId="164" fontId="4" fillId="0" borderId="4" xfId="65" applyNumberFormat="1" applyFont="1" applyBorder="1"/>
    <xf numFmtId="164" fontId="4" fillId="0" borderId="5" xfId="65" applyNumberFormat="1" applyFont="1" applyBorder="1"/>
    <xf numFmtId="2" fontId="4" fillId="0" borderId="7" xfId="65" applyNumberFormat="1" applyFont="1" applyBorder="1"/>
    <xf numFmtId="2" fontId="4" fillId="0" borderId="8" xfId="65" applyNumberFormat="1" applyFont="1" applyBorder="1"/>
    <xf numFmtId="2" fontId="4" fillId="0" borderId="2" xfId="65" applyNumberFormat="1" applyFont="1" applyBorder="1"/>
    <xf numFmtId="0" fontId="49" fillId="0" borderId="0" xfId="2" applyFont="1" applyFill="1" applyProtection="1"/>
    <xf numFmtId="0" fontId="2" fillId="0" borderId="0" xfId="2" applyFill="1" applyAlignment="1" applyProtection="1">
      <alignment vertical="center"/>
    </xf>
    <xf numFmtId="0" fontId="50" fillId="0" borderId="0" xfId="2" applyFont="1" applyFill="1" applyAlignment="1" applyProtection="1">
      <alignment vertical="center"/>
    </xf>
    <xf numFmtId="0" fontId="2" fillId="0" borderId="0" xfId="2" applyFill="1" applyAlignment="1" applyProtection="1">
      <alignment horizontal="right" vertical="center"/>
    </xf>
    <xf numFmtId="164" fontId="2" fillId="0" borderId="0" xfId="2" applyNumberFormat="1" applyFill="1" applyAlignment="1" applyProtection="1">
      <alignment vertical="center"/>
    </xf>
    <xf numFmtId="169" fontId="4" fillId="0" borderId="0" xfId="65" applyNumberFormat="1" applyFont="1"/>
    <xf numFmtId="164" fontId="4" fillId="0" borderId="0" xfId="65" applyNumberFormat="1" applyFont="1"/>
    <xf numFmtId="0" fontId="51" fillId="0" borderId="0" xfId="65" applyFont="1" applyFill="1" applyAlignment="1">
      <alignment vertical="center"/>
    </xf>
    <xf numFmtId="0" fontId="2" fillId="0" borderId="0" xfId="65" applyFont="1" applyAlignment="1">
      <alignment vertical="center"/>
    </xf>
    <xf numFmtId="0" fontId="45" fillId="0" borderId="0" xfId="65" applyFont="1" applyAlignment="1">
      <alignment vertical="center"/>
    </xf>
    <xf numFmtId="0" fontId="44" fillId="21" borderId="19" xfId="65" applyFont="1" applyFill="1" applyBorder="1" applyAlignment="1">
      <alignment horizontal="center" vertical="center" wrapText="1"/>
    </xf>
    <xf numFmtId="0" fontId="45" fillId="0" borderId="0" xfId="65" applyFont="1" applyFill="1" applyAlignment="1">
      <alignment vertical="center"/>
    </xf>
    <xf numFmtId="0" fontId="45" fillId="0" borderId="19" xfId="65" applyFont="1" applyFill="1" applyBorder="1" applyAlignment="1">
      <alignment horizontal="justify" vertical="center" wrapText="1"/>
    </xf>
    <xf numFmtId="175" fontId="45" fillId="0" borderId="19" xfId="65" applyNumberFormat="1" applyFont="1" applyFill="1" applyBorder="1" applyAlignment="1">
      <alignment horizontal="center" vertical="center" wrapText="1"/>
    </xf>
    <xf numFmtId="4" fontId="45" fillId="0" borderId="0" xfId="65" applyNumberFormat="1" applyFont="1" applyFill="1" applyAlignment="1">
      <alignment vertical="center"/>
    </xf>
    <xf numFmtId="175" fontId="45" fillId="0" borderId="0" xfId="65" applyNumberFormat="1" applyFont="1" applyAlignment="1">
      <alignment vertical="center"/>
    </xf>
    <xf numFmtId="3" fontId="45" fillId="0" borderId="19" xfId="65" applyNumberFormat="1" applyFont="1" applyFill="1" applyBorder="1" applyAlignment="1">
      <alignment horizontal="center" vertical="center" wrapText="1"/>
    </xf>
    <xf numFmtId="0" fontId="46" fillId="0" borderId="19" xfId="65" applyFont="1" applyFill="1" applyBorder="1" applyAlignment="1">
      <alignment horizontal="center" vertical="center" wrapText="1"/>
    </xf>
    <xf numFmtId="4" fontId="45" fillId="0" borderId="19" xfId="65" applyNumberFormat="1" applyFont="1" applyFill="1" applyBorder="1" applyAlignment="1">
      <alignment horizontal="center" vertical="center" wrapText="1"/>
    </xf>
    <xf numFmtId="4" fontId="45" fillId="0" borderId="19" xfId="65" applyNumberFormat="1" applyFont="1" applyFill="1" applyBorder="1" applyAlignment="1">
      <alignment vertical="center"/>
    </xf>
    <xf numFmtId="3" fontId="45" fillId="0" borderId="19" xfId="65" applyNumberFormat="1" applyFont="1" applyFill="1" applyBorder="1" applyAlignment="1" applyProtection="1">
      <alignment vertical="center"/>
    </xf>
    <xf numFmtId="0" fontId="45" fillId="0" borderId="4" xfId="65" applyFont="1" applyFill="1" applyBorder="1" applyAlignment="1">
      <alignment vertical="center"/>
    </xf>
    <xf numFmtId="0" fontId="45" fillId="0" borderId="5" xfId="65" applyFont="1" applyFill="1" applyBorder="1" applyAlignment="1">
      <alignment vertical="center"/>
    </xf>
    <xf numFmtId="0" fontId="45" fillId="0" borderId="0" xfId="65" applyFont="1" applyFill="1" applyBorder="1" applyAlignment="1">
      <alignment vertical="center"/>
    </xf>
    <xf numFmtId="0" fontId="45" fillId="0" borderId="20" xfId="65" applyFont="1" applyFill="1" applyBorder="1" applyAlignment="1">
      <alignment vertical="center"/>
    </xf>
    <xf numFmtId="0" fontId="45" fillId="0" borderId="6" xfId="65" applyFont="1" applyFill="1" applyBorder="1" applyAlignment="1">
      <alignment vertical="center"/>
    </xf>
    <xf numFmtId="0" fontId="45" fillId="0" borderId="11" xfId="65" applyFont="1" applyFill="1" applyBorder="1" applyAlignment="1">
      <alignment vertical="center"/>
    </xf>
    <xf numFmtId="0" fontId="45" fillId="0" borderId="12" xfId="65" applyFont="1" applyFill="1" applyBorder="1" applyAlignment="1">
      <alignment vertical="center"/>
    </xf>
    <xf numFmtId="43" fontId="45" fillId="0" borderId="0" xfId="27" applyFont="1" applyFill="1" applyBorder="1" applyAlignment="1">
      <alignment vertical="center"/>
    </xf>
    <xf numFmtId="0" fontId="44" fillId="0" borderId="0" xfId="65" applyFont="1" applyFill="1" applyBorder="1" applyAlignment="1">
      <alignment vertical="center"/>
    </xf>
    <xf numFmtId="0" fontId="44" fillId="0" borderId="20" xfId="65" applyFont="1" applyFill="1" applyBorder="1" applyAlignment="1">
      <alignment vertical="center"/>
    </xf>
    <xf numFmtId="170" fontId="33" fillId="0" borderId="19" xfId="65" applyNumberFormat="1" applyFont="1" applyFill="1" applyBorder="1" applyAlignment="1">
      <alignment horizontal="center"/>
    </xf>
    <xf numFmtId="170" fontId="33" fillId="0" borderId="29" xfId="65" applyNumberFormat="1" applyFont="1" applyFill="1" applyBorder="1" applyAlignment="1">
      <alignment horizontal="center"/>
    </xf>
    <xf numFmtId="0" fontId="45" fillId="0" borderId="0" xfId="65" applyFont="1" applyFill="1" applyBorder="1" applyAlignment="1">
      <alignment horizontal="right" vertical="center"/>
    </xf>
    <xf numFmtId="0" fontId="45" fillId="0" borderId="20" xfId="65" applyFont="1" applyFill="1" applyBorder="1" applyAlignment="1">
      <alignment horizontal="right" vertical="center"/>
    </xf>
    <xf numFmtId="3" fontId="45" fillId="0" borderId="30" xfId="65" applyNumberFormat="1" applyFont="1" applyFill="1" applyBorder="1" applyAlignment="1">
      <alignment horizontal="center" vertical="center"/>
    </xf>
    <xf numFmtId="0" fontId="45" fillId="0" borderId="10" xfId="65" applyFont="1" applyFill="1" applyBorder="1" applyAlignment="1">
      <alignment vertical="center"/>
    </xf>
    <xf numFmtId="175" fontId="45" fillId="0" borderId="19" xfId="65" applyNumberFormat="1" applyFont="1" applyFill="1" applyBorder="1" applyAlignment="1" applyProtection="1">
      <alignment vertical="center"/>
    </xf>
    <xf numFmtId="0" fontId="4" fillId="0" borderId="0" xfId="3"/>
    <xf numFmtId="3" fontId="0" fillId="0" borderId="0" xfId="0" applyNumberFormat="1"/>
    <xf numFmtId="0" fontId="2" fillId="0" borderId="0" xfId="94"/>
    <xf numFmtId="0" fontId="3" fillId="21" borderId="24" xfId="94" applyFont="1" applyFill="1" applyBorder="1"/>
    <xf numFmtId="0" fontId="3" fillId="21" borderId="24" xfId="94" applyFont="1" applyFill="1" applyBorder="1" applyAlignment="1">
      <alignment wrapText="1"/>
    </xf>
    <xf numFmtId="0" fontId="2" fillId="0" borderId="34" xfId="94" applyBorder="1"/>
    <xf numFmtId="0" fontId="2" fillId="20" borderId="35" xfId="94" applyFill="1" applyBorder="1"/>
    <xf numFmtId="0" fontId="2" fillId="0" borderId="19" xfId="94" applyBorder="1"/>
    <xf numFmtId="171" fontId="2" fillId="26" borderId="19" xfId="94" applyNumberFormat="1" applyFill="1" applyBorder="1"/>
    <xf numFmtId="171" fontId="2" fillId="0" borderId="35" xfId="94" applyNumberFormat="1" applyFill="1" applyBorder="1"/>
    <xf numFmtId="171" fontId="2" fillId="0" borderId="36" xfId="94" applyNumberFormat="1" applyFill="1" applyBorder="1"/>
    <xf numFmtId="0" fontId="2" fillId="0" borderId="37" xfId="94" applyBorder="1"/>
    <xf numFmtId="0" fontId="2" fillId="20" borderId="19" xfId="94" applyFill="1" applyBorder="1"/>
    <xf numFmtId="171" fontId="2" fillId="0" borderId="19" xfId="94" applyNumberFormat="1" applyFill="1" applyBorder="1"/>
    <xf numFmtId="171" fontId="2" fillId="0" borderId="29" xfId="94" applyNumberFormat="1" applyFill="1" applyBorder="1"/>
    <xf numFmtId="0" fontId="2" fillId="0" borderId="38" xfId="94" applyBorder="1"/>
    <xf numFmtId="0" fontId="2" fillId="20" borderId="39" xfId="94" applyFill="1" applyBorder="1"/>
    <xf numFmtId="171" fontId="2" fillId="0" borderId="39" xfId="94" applyNumberFormat="1" applyFill="1" applyBorder="1"/>
    <xf numFmtId="171" fontId="2" fillId="0" borderId="40" xfId="94" applyNumberFormat="1" applyFill="1" applyBorder="1"/>
    <xf numFmtId="0" fontId="60" fillId="0" borderId="22" xfId="3" applyFont="1" applyBorder="1"/>
    <xf numFmtId="171" fontId="59" fillId="0" borderId="22" xfId="94" applyNumberFormat="1" applyFont="1" applyFill="1" applyBorder="1"/>
    <xf numFmtId="0" fontId="60" fillId="0" borderId="19" xfId="3" applyFont="1" applyBorder="1"/>
    <xf numFmtId="0" fontId="2" fillId="0" borderId="0" xfId="94" applyAlignment="1">
      <alignment horizontal="right"/>
    </xf>
    <xf numFmtId="0" fontId="2" fillId="0" borderId="0" xfId="94" applyAlignment="1">
      <alignment horizontal="left"/>
    </xf>
    <xf numFmtId="0" fontId="38" fillId="0" borderId="0" xfId="94" applyFont="1"/>
    <xf numFmtId="164" fontId="2" fillId="20" borderId="35" xfId="94" applyNumberFormat="1" applyFill="1" applyBorder="1"/>
    <xf numFmtId="171" fontId="2" fillId="0" borderId="35" xfId="94" applyNumberFormat="1" applyBorder="1"/>
    <xf numFmtId="171" fontId="2" fillId="26" borderId="35" xfId="94" applyNumberFormat="1" applyFill="1" applyBorder="1"/>
    <xf numFmtId="164" fontId="2" fillId="20" borderId="19" xfId="94" applyNumberFormat="1" applyFill="1" applyBorder="1"/>
    <xf numFmtId="171" fontId="2" fillId="0" borderId="19" xfId="94" applyNumberFormat="1" applyBorder="1"/>
    <xf numFmtId="1" fontId="2" fillId="24" borderId="19" xfId="94" applyNumberFormat="1" applyFill="1" applyBorder="1"/>
    <xf numFmtId="164" fontId="2" fillId="20" borderId="39" xfId="94" applyNumberFormat="1" applyFill="1" applyBorder="1"/>
    <xf numFmtId="171" fontId="2" fillId="0" borderId="39" xfId="94" applyNumberFormat="1" applyBorder="1"/>
    <xf numFmtId="171" fontId="24" fillId="0" borderId="39" xfId="94" applyNumberFormat="1" applyFont="1" applyFill="1" applyBorder="1"/>
    <xf numFmtId="2" fontId="2" fillId="0" borderId="39" xfId="94" applyNumberFormat="1" applyFill="1" applyBorder="1"/>
    <xf numFmtId="0" fontId="4" fillId="0" borderId="0" xfId="3" applyAlignment="1">
      <alignment horizontal="left" vertical="top" wrapText="1"/>
    </xf>
    <xf numFmtId="0" fontId="60" fillId="0" borderId="0" xfId="3" applyFont="1" applyAlignment="1">
      <alignment horizontal="center" vertical="center"/>
    </xf>
    <xf numFmtId="4" fontId="4" fillId="0" borderId="0" xfId="3" applyNumberFormat="1"/>
    <xf numFmtId="3" fontId="4" fillId="0" borderId="0" xfId="3" applyNumberFormat="1"/>
    <xf numFmtId="9" fontId="0" fillId="0" borderId="0" xfId="85" applyFont="1"/>
    <xf numFmtId="3" fontId="60" fillId="0" borderId="0" xfId="3" applyNumberFormat="1" applyFont="1"/>
    <xf numFmtId="0" fontId="4" fillId="21" borderId="19" xfId="3" applyFill="1" applyBorder="1" applyProtection="1"/>
    <xf numFmtId="0" fontId="50" fillId="21" borderId="19" xfId="3" applyFont="1" applyFill="1" applyBorder="1" applyProtection="1"/>
    <xf numFmtId="0" fontId="50" fillId="21" borderId="24" xfId="3" applyFont="1" applyFill="1" applyBorder="1" applyProtection="1"/>
    <xf numFmtId="0" fontId="50" fillId="0" borderId="19" xfId="3" applyFont="1" applyFill="1" applyBorder="1" applyProtection="1"/>
    <xf numFmtId="171" fontId="4" fillId="0" borderId="19" xfId="3" applyNumberFormat="1" applyFill="1" applyBorder="1" applyProtection="1"/>
    <xf numFmtId="171" fontId="4" fillId="21" borderId="19" xfId="3" applyNumberFormat="1" applyFill="1" applyBorder="1" applyProtection="1"/>
    <xf numFmtId="171" fontId="4" fillId="0" borderId="25" xfId="3" applyNumberFormat="1" applyFill="1" applyBorder="1" applyProtection="1"/>
    <xf numFmtId="171" fontId="4" fillId="0" borderId="2" xfId="3" applyNumberFormat="1" applyFill="1" applyBorder="1" applyProtection="1"/>
    <xf numFmtId="164" fontId="4" fillId="0" borderId="19" xfId="3" applyNumberFormat="1" applyFill="1" applyBorder="1" applyProtection="1"/>
    <xf numFmtId="0" fontId="50" fillId="0" borderId="19" xfId="3" applyFont="1" applyFill="1" applyBorder="1" applyAlignment="1" applyProtection="1">
      <alignment horizontal="right"/>
    </xf>
    <xf numFmtId="0" fontId="29" fillId="0" borderId="0" xfId="64" applyFont="1" applyBorder="1" applyAlignment="1">
      <alignment horizontal="right"/>
    </xf>
    <xf numFmtId="0" fontId="4" fillId="0" borderId="0" xfId="3" applyAlignment="1">
      <alignment horizontal="right"/>
    </xf>
    <xf numFmtId="0" fontId="63" fillId="0" borderId="0" xfId="0" applyFont="1" applyAlignment="1">
      <alignment horizontal="center" vertical="center"/>
    </xf>
    <xf numFmtId="0" fontId="65" fillId="0" borderId="0" xfId="0" applyFont="1"/>
    <xf numFmtId="0" fontId="4" fillId="0" borderId="19" xfId="3" applyBorder="1"/>
    <xf numFmtId="171" fontId="4" fillId="0" borderId="19" xfId="3" applyNumberFormat="1" applyBorder="1"/>
    <xf numFmtId="3" fontId="4" fillId="0" borderId="19" xfId="3" applyNumberFormat="1" applyBorder="1"/>
    <xf numFmtId="0" fontId="60" fillId="0" borderId="21" xfId="3" applyFont="1" applyFill="1" applyBorder="1"/>
    <xf numFmtId="3" fontId="4" fillId="0" borderId="41" xfId="3" applyNumberFormat="1" applyFill="1" applyBorder="1"/>
    <xf numFmtId="3" fontId="60" fillId="0" borderId="2" xfId="3" applyNumberFormat="1" applyFont="1" applyFill="1" applyBorder="1"/>
    <xf numFmtId="3" fontId="60" fillId="24" borderId="2" xfId="3" applyNumberFormat="1" applyFont="1" applyFill="1" applyBorder="1"/>
    <xf numFmtId="171" fontId="4" fillId="0" borderId="0" xfId="3" applyNumberFormat="1"/>
    <xf numFmtId="4" fontId="60" fillId="0" borderId="0" xfId="3" applyNumberFormat="1" applyFont="1"/>
    <xf numFmtId="181" fontId="60" fillId="0" borderId="0" xfId="3" applyNumberFormat="1" applyFont="1"/>
    <xf numFmtId="9" fontId="4" fillId="0" borderId="0" xfId="1" applyFont="1"/>
    <xf numFmtId="0" fontId="2" fillId="0" borderId="42" xfId="94" applyBorder="1"/>
    <xf numFmtId="0" fontId="2" fillId="0" borderId="23" xfId="94" applyBorder="1"/>
    <xf numFmtId="0" fontId="2" fillId="0" borderId="43" xfId="94" applyBorder="1"/>
    <xf numFmtId="0" fontId="66" fillId="0" borderId="0" xfId="0" applyFont="1" applyAlignment="1">
      <alignment horizontal="justify"/>
    </xf>
    <xf numFmtId="0" fontId="25" fillId="0" borderId="0" xfId="0" applyFont="1" applyAlignment="1">
      <alignment horizontal="justify"/>
    </xf>
    <xf numFmtId="4" fontId="4" fillId="0" borderId="0" xfId="3" applyNumberFormat="1" applyBorder="1" applyAlignment="1">
      <alignment horizontal="left" vertical="center"/>
    </xf>
    <xf numFmtId="0" fontId="2" fillId="0" borderId="33" xfId="94" applyFill="1" applyBorder="1" applyAlignment="1">
      <alignment vertical="center" wrapText="1"/>
    </xf>
    <xf numFmtId="0" fontId="2" fillId="0" borderId="26" xfId="94" applyFill="1" applyBorder="1" applyAlignment="1">
      <alignment vertical="center" wrapText="1"/>
    </xf>
    <xf numFmtId="0" fontId="2" fillId="0" borderId="39" xfId="94" applyBorder="1"/>
    <xf numFmtId="3" fontId="58" fillId="0" borderId="22" xfId="3" applyNumberFormat="1" applyFont="1" applyFill="1" applyBorder="1"/>
    <xf numFmtId="164" fontId="24" fillId="0" borderId="22" xfId="94" applyNumberFormat="1" applyFont="1" applyFill="1" applyBorder="1"/>
    <xf numFmtId="171" fontId="24" fillId="0" borderId="22" xfId="94" applyNumberFormat="1" applyFont="1" applyFill="1" applyBorder="1"/>
    <xf numFmtId="0" fontId="24" fillId="0" borderId="22" xfId="94" applyFont="1" applyFill="1" applyBorder="1"/>
    <xf numFmtId="2" fontId="24" fillId="0" borderId="22" xfId="94" applyNumberFormat="1" applyFont="1" applyFill="1" applyBorder="1"/>
    <xf numFmtId="3" fontId="58" fillId="0" borderId="19" xfId="3" applyNumberFormat="1" applyFont="1" applyFill="1" applyBorder="1"/>
    <xf numFmtId="164" fontId="24" fillId="0" borderId="19" xfId="94" applyNumberFormat="1" applyFont="1" applyFill="1" applyBorder="1"/>
    <xf numFmtId="171" fontId="24" fillId="0" borderId="19" xfId="94" applyNumberFormat="1" applyFont="1" applyFill="1" applyBorder="1"/>
    <xf numFmtId="0" fontId="24" fillId="0" borderId="19" xfId="94" applyFont="1" applyFill="1" applyBorder="1"/>
    <xf numFmtId="2" fontId="24" fillId="0" borderId="19" xfId="94" applyNumberFormat="1" applyFont="1" applyFill="1" applyBorder="1"/>
    <xf numFmtId="0" fontId="2" fillId="0" borderId="35" xfId="94" applyFill="1" applyBorder="1"/>
    <xf numFmtId="0" fontId="2" fillId="0" borderId="19" xfId="94" applyFill="1" applyBorder="1"/>
    <xf numFmtId="0" fontId="2" fillId="0" borderId="39" xfId="94" applyFill="1" applyBorder="1"/>
    <xf numFmtId="171" fontId="59" fillId="0" borderId="39" xfId="94" applyNumberFormat="1" applyFont="1" applyFill="1" applyBorder="1"/>
    <xf numFmtId="1" fontId="2" fillId="0" borderId="19" xfId="94" applyNumberFormat="1" applyFill="1" applyBorder="1"/>
    <xf numFmtId="171" fontId="2" fillId="23" borderId="19" xfId="94" applyNumberFormat="1" applyFill="1" applyBorder="1"/>
    <xf numFmtId="171" fontId="2" fillId="23" borderId="39" xfId="94" applyNumberFormat="1" applyFill="1" applyBorder="1"/>
    <xf numFmtId="0" fontId="2" fillId="28" borderId="39" xfId="94" applyFill="1" applyBorder="1"/>
    <xf numFmtId="3" fontId="4" fillId="0" borderId="19" xfId="3" applyNumberFormat="1" applyFill="1" applyBorder="1"/>
    <xf numFmtId="0" fontId="4" fillId="0" borderId="19" xfId="3" applyFill="1" applyBorder="1"/>
    <xf numFmtId="171" fontId="4" fillId="0" borderId="19" xfId="3" applyNumberFormat="1" applyFill="1" applyBorder="1"/>
    <xf numFmtId="0" fontId="67" fillId="0" borderId="0" xfId="0" applyFont="1" applyFill="1" applyProtection="1"/>
    <xf numFmtId="0" fontId="60" fillId="0" borderId="0" xfId="2" applyFont="1"/>
    <xf numFmtId="0" fontId="42" fillId="0" borderId="0" xfId="94" applyFont="1" applyBorder="1" applyAlignment="1">
      <alignment vertical="center"/>
    </xf>
    <xf numFmtId="0" fontId="4" fillId="21" borderId="34" xfId="3" applyFill="1" applyBorder="1"/>
    <xf numFmtId="0" fontId="60" fillId="21" borderId="35" xfId="3" applyFont="1" applyFill="1" applyBorder="1"/>
    <xf numFmtId="0" fontId="60" fillId="21" borderId="35" xfId="3" applyFont="1" applyFill="1" applyBorder="1" applyAlignment="1">
      <alignment wrapText="1"/>
    </xf>
    <xf numFmtId="0" fontId="60" fillId="21" borderId="35" xfId="3" applyFont="1" applyFill="1" applyBorder="1" applyAlignment="1">
      <alignment horizontal="center"/>
    </xf>
    <xf numFmtId="0" fontId="60" fillId="21" borderId="36" xfId="3" applyFont="1" applyFill="1" applyBorder="1" applyAlignment="1">
      <alignment horizontal="center"/>
    </xf>
    <xf numFmtId="0" fontId="4" fillId="0" borderId="37" xfId="3" applyBorder="1"/>
    <xf numFmtId="3" fontId="4" fillId="0" borderId="29" xfId="3" applyNumberFormat="1" applyFill="1" applyBorder="1"/>
    <xf numFmtId="0" fontId="4" fillId="0" borderId="38" xfId="3" applyFill="1" applyBorder="1"/>
    <xf numFmtId="171" fontId="4" fillId="0" borderId="39" xfId="3" applyNumberFormat="1" applyFill="1" applyBorder="1"/>
    <xf numFmtId="0" fontId="4" fillId="0" borderId="39" xfId="3" applyBorder="1"/>
    <xf numFmtId="3" fontId="4" fillId="0" borderId="39" xfId="3" applyNumberFormat="1" applyFill="1" applyBorder="1"/>
    <xf numFmtId="3" fontId="4" fillId="0" borderId="40" xfId="3" applyNumberFormat="1" applyFill="1" applyBorder="1"/>
    <xf numFmtId="0" fontId="60" fillId="21" borderId="34" xfId="3" applyFont="1" applyFill="1" applyBorder="1" applyAlignment="1">
      <alignment horizontal="center"/>
    </xf>
    <xf numFmtId="3" fontId="4" fillId="0" borderId="37" xfId="3" applyNumberFormat="1" applyBorder="1"/>
    <xf numFmtId="0" fontId="4" fillId="0" borderId="38" xfId="3" applyBorder="1"/>
    <xf numFmtId="3" fontId="4" fillId="0" borderId="39" xfId="3" applyNumberFormat="1" applyBorder="1"/>
    <xf numFmtId="0" fontId="60" fillId="21" borderId="45" xfId="3" applyFont="1" applyFill="1" applyBorder="1" applyAlignment="1">
      <alignment horizontal="center"/>
    </xf>
    <xf numFmtId="3" fontId="4" fillId="0" borderId="25" xfId="3" applyNumberFormat="1" applyBorder="1"/>
    <xf numFmtId="0" fontId="4" fillId="0" borderId="46" xfId="3" applyBorder="1"/>
    <xf numFmtId="0" fontId="60" fillId="21" borderId="47" xfId="3" applyFont="1" applyFill="1" applyBorder="1" applyAlignment="1">
      <alignment horizontal="center"/>
    </xf>
    <xf numFmtId="3" fontId="4" fillId="22" borderId="48" xfId="3" applyNumberFormat="1" applyFill="1" applyBorder="1"/>
    <xf numFmtId="3" fontId="4" fillId="26" borderId="44" xfId="3" applyNumberFormat="1" applyFill="1" applyBorder="1"/>
    <xf numFmtId="0" fontId="69" fillId="0" borderId="0" xfId="3" applyFont="1"/>
    <xf numFmtId="0" fontId="69" fillId="0" borderId="0" xfId="98" applyFont="1" applyAlignment="1">
      <alignment horizontal="right"/>
    </xf>
    <xf numFmtId="10" fontId="69" fillId="2" borderId="0" xfId="98" applyNumberFormat="1" applyFont="1" applyFill="1"/>
    <xf numFmtId="0" fontId="69" fillId="2" borderId="0" xfId="3" applyFont="1" applyFill="1" applyAlignment="1">
      <alignment horizontal="center" vertical="center"/>
    </xf>
    <xf numFmtId="0" fontId="70" fillId="0" borderId="0" xfId="0" applyFont="1" applyAlignment="1">
      <alignment horizontal="center" vertical="center"/>
    </xf>
    <xf numFmtId="4" fontId="71" fillId="0" borderId="0" xfId="3" applyNumberFormat="1" applyFont="1"/>
    <xf numFmtId="0" fontId="60" fillId="0" borderId="5" xfId="3" applyFont="1" applyBorder="1"/>
    <xf numFmtId="3" fontId="4" fillId="0" borderId="20" xfId="3" applyNumberFormat="1" applyBorder="1"/>
    <xf numFmtId="3" fontId="60" fillId="0" borderId="9" xfId="3" applyNumberFormat="1" applyFont="1" applyBorder="1"/>
    <xf numFmtId="0" fontId="4" fillId="0" borderId="19" xfId="3" applyFill="1" applyBorder="1" applyAlignment="1">
      <alignment wrapText="1"/>
    </xf>
    <xf numFmtId="0" fontId="60" fillId="0" borderId="19" xfId="3" applyFont="1" applyFill="1" applyBorder="1" applyAlignment="1">
      <alignment wrapText="1"/>
    </xf>
    <xf numFmtId="4" fontId="4" fillId="0" borderId="19" xfId="3" applyNumberFormat="1" applyFill="1" applyBorder="1"/>
    <xf numFmtId="3" fontId="4" fillId="0" borderId="19" xfId="3" applyNumberFormat="1" applyFill="1" applyBorder="1" applyAlignment="1">
      <alignment horizontal="center" vertical="center"/>
    </xf>
    <xf numFmtId="0" fontId="4" fillId="0" borderId="19" xfId="3" applyFill="1" applyBorder="1" applyAlignment="1">
      <alignment horizontal="center" vertical="center"/>
    </xf>
    <xf numFmtId="3" fontId="60" fillId="0" borderId="19" xfId="3" applyNumberFormat="1" applyFont="1" applyFill="1" applyBorder="1" applyAlignment="1">
      <alignment horizontal="center" vertical="center"/>
    </xf>
    <xf numFmtId="4" fontId="60" fillId="0" borderId="19" xfId="3" applyNumberFormat="1" applyFont="1" applyFill="1" applyBorder="1"/>
    <xf numFmtId="164" fontId="68" fillId="0" borderId="19" xfId="3" applyNumberFormat="1" applyFont="1" applyFill="1" applyBorder="1" applyProtection="1"/>
    <xf numFmtId="0" fontId="41" fillId="0" borderId="6" xfId="94" applyFont="1" applyFill="1" applyBorder="1" applyAlignment="1">
      <alignment vertical="center"/>
    </xf>
    <xf numFmtId="0" fontId="41" fillId="0" borderId="10" xfId="94" applyFont="1" applyFill="1" applyBorder="1" applyAlignment="1">
      <alignment vertical="center"/>
    </xf>
    <xf numFmtId="0" fontId="41" fillId="0" borderId="0" xfId="3" applyFont="1" applyFill="1" applyBorder="1" applyAlignment="1">
      <alignment vertical="center"/>
    </xf>
    <xf numFmtId="0" fontId="41" fillId="0" borderId="20" xfId="3" applyFont="1" applyFill="1" applyBorder="1" applyAlignment="1">
      <alignment vertical="center"/>
    </xf>
    <xf numFmtId="0" fontId="41" fillId="0" borderId="11" xfId="3" applyFont="1" applyFill="1" applyBorder="1" applyAlignment="1">
      <alignment vertical="center"/>
    </xf>
    <xf numFmtId="0" fontId="41" fillId="0" borderId="12" xfId="3" applyFont="1" applyFill="1" applyBorder="1" applyAlignment="1">
      <alignment vertical="center"/>
    </xf>
    <xf numFmtId="0" fontId="41" fillId="0" borderId="25" xfId="3" applyFont="1" applyBorder="1" applyAlignment="1">
      <alignment vertical="center"/>
    </xf>
    <xf numFmtId="0" fontId="41" fillId="0" borderId="28" xfId="3" applyFont="1" applyBorder="1" applyAlignment="1">
      <alignment vertical="center"/>
    </xf>
    <xf numFmtId="0" fontId="44" fillId="0" borderId="19" xfId="3" applyFont="1" applyBorder="1" applyAlignment="1">
      <alignment horizontal="right" vertical="center"/>
    </xf>
    <xf numFmtId="0" fontId="44" fillId="21" borderId="19" xfId="94" applyFont="1" applyFill="1" applyBorder="1" applyAlignment="1">
      <alignment horizontal="center" vertical="center" wrapText="1"/>
    </xf>
    <xf numFmtId="0" fontId="41" fillId="21" borderId="25" xfId="3" applyFont="1" applyFill="1" applyBorder="1" applyAlignment="1">
      <alignment vertical="center"/>
    </xf>
    <xf numFmtId="0" fontId="41" fillId="21" borderId="28" xfId="3" applyFont="1" applyFill="1" applyBorder="1" applyAlignment="1">
      <alignment vertical="center"/>
    </xf>
    <xf numFmtId="0" fontId="41" fillId="21" borderId="23" xfId="3" applyFont="1" applyFill="1" applyBorder="1" applyAlignment="1">
      <alignment vertical="center"/>
    </xf>
    <xf numFmtId="178" fontId="45" fillId="0" borderId="0" xfId="85" applyNumberFormat="1" applyFont="1" applyFill="1" applyBorder="1" applyAlignment="1">
      <alignment horizontal="center" vertical="center"/>
    </xf>
    <xf numFmtId="176" fontId="45" fillId="0" borderId="0" xfId="85" applyNumberFormat="1" applyFont="1" applyFill="1" applyBorder="1" applyAlignment="1">
      <alignment horizontal="center" vertical="center"/>
    </xf>
    <xf numFmtId="0" fontId="73" fillId="0" borderId="0" xfId="3" applyFont="1" applyFill="1" applyAlignment="1">
      <alignment vertical="center"/>
    </xf>
    <xf numFmtId="0" fontId="74" fillId="0" borderId="0" xfId="3" applyFont="1" applyFill="1" applyAlignment="1">
      <alignment vertical="center"/>
    </xf>
    <xf numFmtId="17" fontId="73" fillId="0" borderId="0" xfId="3" applyNumberFormat="1" applyFont="1" applyFill="1" applyAlignment="1">
      <alignment vertical="center"/>
    </xf>
    <xf numFmtId="1" fontId="29" fillId="0" borderId="19" xfId="65" applyNumberFormat="1" applyFont="1" applyFill="1" applyBorder="1" applyAlignment="1">
      <alignment horizontal="center" vertical="center"/>
    </xf>
    <xf numFmtId="179" fontId="29" fillId="0" borderId="19" xfId="65" applyNumberFormat="1" applyFont="1" applyFill="1" applyBorder="1" applyAlignment="1">
      <alignment horizontal="center" vertical="center"/>
    </xf>
    <xf numFmtId="2" fontId="30" fillId="0" borderId="19" xfId="65" applyNumberFormat="1" applyFont="1" applyFill="1" applyBorder="1" applyAlignment="1">
      <alignment horizontal="center" vertical="center"/>
    </xf>
    <xf numFmtId="0" fontId="52" fillId="0" borderId="3" xfId="65" applyFont="1" applyFill="1" applyBorder="1" applyAlignment="1">
      <alignment vertical="center"/>
    </xf>
    <xf numFmtId="3" fontId="75" fillId="0" borderId="19" xfId="65" applyNumberFormat="1" applyFont="1" applyFill="1" applyBorder="1" applyAlignment="1">
      <alignment horizontal="center" vertical="center"/>
    </xf>
    <xf numFmtId="175" fontId="76" fillId="0" borderId="19" xfId="65" applyNumberFormat="1" applyFont="1" applyFill="1" applyBorder="1" applyAlignment="1">
      <alignment horizontal="center" vertical="center" wrapText="1"/>
    </xf>
    <xf numFmtId="3" fontId="76" fillId="0" borderId="19" xfId="65" applyNumberFormat="1" applyFont="1" applyFill="1" applyBorder="1" applyAlignment="1">
      <alignment horizontal="center" vertical="center" wrapText="1"/>
    </xf>
    <xf numFmtId="3" fontId="77" fillId="0" borderId="19" xfId="65" applyNumberFormat="1" applyFont="1" applyFill="1" applyBorder="1" applyAlignment="1" applyProtection="1">
      <alignment vertical="center"/>
    </xf>
    <xf numFmtId="0" fontId="77" fillId="0" borderId="3" xfId="65" applyFont="1" applyFill="1" applyBorder="1" applyAlignment="1">
      <alignment vertical="center"/>
    </xf>
    <xf numFmtId="0" fontId="77" fillId="0" borderId="4" xfId="65" applyFont="1" applyFill="1" applyBorder="1" applyAlignment="1">
      <alignment vertical="center"/>
    </xf>
    <xf numFmtId="0" fontId="77" fillId="0" borderId="3" xfId="65" applyFont="1" applyFill="1" applyBorder="1" applyAlignment="1">
      <alignment horizontal="right" vertical="center"/>
    </xf>
    <xf numFmtId="180" fontId="77" fillId="0" borderId="4" xfId="27" applyNumberFormat="1" applyFont="1" applyFill="1" applyBorder="1" applyAlignment="1">
      <alignment vertical="center"/>
    </xf>
    <xf numFmtId="0" fontId="77" fillId="0" borderId="6" xfId="65" applyFont="1" applyFill="1" applyBorder="1" applyAlignment="1">
      <alignment horizontal="right" vertical="center"/>
    </xf>
    <xf numFmtId="175" fontId="77" fillId="2" borderId="19" xfId="65" applyNumberFormat="1" applyFont="1" applyFill="1" applyBorder="1" applyAlignment="1" applyProtection="1">
      <alignment vertical="center"/>
    </xf>
    <xf numFmtId="0" fontId="77" fillId="0" borderId="6" xfId="65" applyFont="1" applyFill="1" applyBorder="1" applyAlignment="1">
      <alignment vertical="center"/>
    </xf>
    <xf numFmtId="0" fontId="77" fillId="0" borderId="0" xfId="65" applyFont="1" applyFill="1" applyBorder="1" applyAlignment="1">
      <alignment vertical="center"/>
    </xf>
    <xf numFmtId="0" fontId="77" fillId="0" borderId="0" xfId="65" applyFont="1" applyFill="1" applyBorder="1" applyAlignment="1">
      <alignment horizontal="center" vertical="center"/>
    </xf>
    <xf numFmtId="0" fontId="77" fillId="0" borderId="10" xfId="65" applyFont="1" applyFill="1" applyBorder="1" applyAlignment="1">
      <alignment horizontal="right" vertical="center"/>
    </xf>
    <xf numFmtId="2" fontId="77" fillId="2" borderId="11" xfId="65" applyNumberFormat="1" applyFont="1" applyFill="1" applyBorder="1" applyAlignment="1">
      <alignment horizontal="center" vertical="center"/>
    </xf>
    <xf numFmtId="2" fontId="77" fillId="0" borderId="11" xfId="65" applyNumberFormat="1" applyFont="1" applyFill="1" applyBorder="1" applyAlignment="1">
      <alignment horizontal="center" vertical="center"/>
    </xf>
    <xf numFmtId="0" fontId="77" fillId="0" borderId="11" xfId="65" applyFont="1" applyFill="1" applyBorder="1" applyAlignment="1">
      <alignment vertical="center"/>
    </xf>
    <xf numFmtId="43" fontId="77" fillId="0" borderId="0" xfId="27" applyFont="1" applyFill="1" applyBorder="1" applyAlignment="1">
      <alignment vertical="center"/>
    </xf>
    <xf numFmtId="0" fontId="78" fillId="0" borderId="0" xfId="65" applyFont="1" applyFill="1" applyBorder="1" applyAlignment="1">
      <alignment vertical="center"/>
    </xf>
    <xf numFmtId="170" fontId="79" fillId="0" borderId="19" xfId="65" applyNumberFormat="1" applyFont="1" applyFill="1" applyBorder="1" applyAlignment="1">
      <alignment horizontal="center"/>
    </xf>
    <xf numFmtId="0" fontId="77" fillId="0" borderId="0" xfId="65" applyFont="1" applyFill="1" applyBorder="1" applyAlignment="1">
      <alignment horizontal="right" vertical="center"/>
    </xf>
    <xf numFmtId="0" fontId="72" fillId="0" borderId="6" xfId="65" applyFont="1" applyFill="1" applyBorder="1" applyAlignment="1">
      <alignment horizontal="right" vertical="center"/>
    </xf>
    <xf numFmtId="3" fontId="77" fillId="0" borderId="30" xfId="65" applyNumberFormat="1" applyFont="1" applyFill="1" applyBorder="1" applyAlignment="1">
      <alignment horizontal="center" vertical="center"/>
    </xf>
    <xf numFmtId="0" fontId="77" fillId="0" borderId="10" xfId="65" applyFont="1" applyFill="1" applyBorder="1" applyAlignment="1">
      <alignment vertical="center"/>
    </xf>
    <xf numFmtId="0" fontId="80" fillId="0" borderId="0" xfId="65" applyFont="1" applyAlignment="1">
      <alignment vertical="center"/>
    </xf>
    <xf numFmtId="175" fontId="77" fillId="0" borderId="19" xfId="65" applyNumberFormat="1" applyFont="1" applyFill="1" applyBorder="1" applyAlignment="1" applyProtection="1">
      <alignment vertical="center"/>
    </xf>
    <xf numFmtId="0" fontId="80" fillId="0" borderId="0" xfId="65" applyFont="1" applyAlignment="1">
      <alignment horizontal="right" vertical="center"/>
    </xf>
    <xf numFmtId="0" fontId="81" fillId="0" borderId="0" xfId="95" applyFont="1" applyAlignment="1" applyProtection="1">
      <alignment horizontal="right"/>
    </xf>
    <xf numFmtId="0" fontId="82" fillId="0" borderId="0" xfId="65" applyFont="1" applyFill="1" applyAlignment="1">
      <alignment horizontal="right" vertical="center"/>
    </xf>
    <xf numFmtId="3" fontId="82" fillId="0" borderId="19" xfId="65" applyNumberFormat="1" applyFont="1" applyFill="1" applyBorder="1" applyAlignment="1" applyProtection="1">
      <alignment vertical="center"/>
    </xf>
    <xf numFmtId="0" fontId="82" fillId="0" borderId="0" xfId="65" applyFont="1" applyFill="1" applyAlignment="1">
      <alignment vertical="center"/>
    </xf>
    <xf numFmtId="172" fontId="30" fillId="0" borderId="0" xfId="51" applyNumberFormat="1" applyFont="1" applyFill="1" applyBorder="1" applyAlignment="1">
      <alignment vertical="center" shrinkToFit="1"/>
    </xf>
    <xf numFmtId="0" fontId="57" fillId="0" borderId="7" xfId="99" applyFont="1" applyBorder="1" applyAlignment="1">
      <alignment vertical="center"/>
    </xf>
    <xf numFmtId="172" fontId="62" fillId="0" borderId="32" xfId="51" applyNumberFormat="1" applyFont="1" applyFill="1" applyBorder="1" applyAlignment="1">
      <alignment vertical="center" shrinkToFit="1"/>
    </xf>
    <xf numFmtId="0" fontId="0" fillId="0" borderId="0" xfId="0" applyAlignment="1">
      <alignment vertical="center"/>
    </xf>
    <xf numFmtId="10" fontId="0" fillId="0" borderId="0" xfId="1" applyNumberFormat="1" applyFont="1" applyAlignment="1">
      <alignment vertical="center"/>
    </xf>
    <xf numFmtId="0" fontId="83" fillId="0" borderId="19" xfId="51" applyFont="1" applyFill="1" applyBorder="1" applyAlignment="1">
      <alignment horizontal="right" vertical="center"/>
    </xf>
    <xf numFmtId="169" fontId="83" fillId="0" borderId="19" xfId="62" applyNumberFormat="1" applyFont="1" applyFill="1" applyBorder="1" applyAlignment="1">
      <alignment vertical="center"/>
    </xf>
    <xf numFmtId="173" fontId="75" fillId="0" borderId="19" xfId="51" applyNumberFormat="1" applyFont="1" applyFill="1" applyBorder="1" applyAlignment="1">
      <alignment horizontal="center" vertical="center"/>
    </xf>
    <xf numFmtId="182" fontId="4" fillId="0" borderId="0" xfId="3" applyNumberFormat="1" applyFill="1" applyBorder="1" applyAlignment="1">
      <alignment horizontal="center" vertical="center"/>
    </xf>
    <xf numFmtId="164" fontId="29" fillId="0" borderId="21" xfId="64" applyNumberFormat="1" applyFont="1" applyFill="1" applyBorder="1" applyAlignment="1">
      <alignment horizontal="center" vertical="center"/>
    </xf>
    <xf numFmtId="0" fontId="29" fillId="0" borderId="19" xfId="64" applyFont="1" applyBorder="1"/>
    <xf numFmtId="0" fontId="29" fillId="0" borderId="19" xfId="64" applyFont="1" applyBorder="1" applyAlignment="1">
      <alignment horizontal="right"/>
    </xf>
    <xf numFmtId="3" fontId="29" fillId="0" borderId="19" xfId="64" applyNumberFormat="1" applyFont="1" applyBorder="1"/>
    <xf numFmtId="3" fontId="62" fillId="0" borderId="19" xfId="64" applyNumberFormat="1" applyFont="1" applyBorder="1"/>
    <xf numFmtId="0" fontId="29" fillId="0" borderId="25" xfId="64" applyFont="1" applyBorder="1"/>
    <xf numFmtId="0" fontId="62" fillId="0" borderId="23" xfId="64" applyFont="1" applyBorder="1" applyAlignment="1">
      <alignment horizontal="right"/>
    </xf>
    <xf numFmtId="0" fontId="62" fillId="21" borderId="19" xfId="64" applyFont="1" applyFill="1" applyBorder="1" applyAlignment="1">
      <alignment horizontal="center" vertical="center"/>
    </xf>
    <xf numFmtId="0" fontId="62" fillId="21" borderId="19" xfId="64" applyFont="1" applyFill="1" applyBorder="1" applyAlignment="1">
      <alignment horizontal="center" vertical="center" wrapText="1"/>
    </xf>
    <xf numFmtId="0" fontId="29" fillId="0" borderId="19" xfId="64" applyFont="1" applyFill="1" applyBorder="1" applyAlignment="1">
      <alignment horizontal="center" vertical="center"/>
    </xf>
    <xf numFmtId="10" fontId="30" fillId="0" borderId="19" xfId="1" applyNumberFormat="1" applyFont="1" applyFill="1" applyBorder="1" applyAlignment="1">
      <alignment horizontal="center" vertical="center"/>
    </xf>
    <xf numFmtId="0" fontId="0" fillId="0" borderId="0" xfId="0" applyFill="1"/>
    <xf numFmtId="10" fontId="30" fillId="0" borderId="0" xfId="1" applyNumberFormat="1" applyFont="1" applyFill="1" applyBorder="1" applyAlignment="1">
      <alignment horizontal="center" vertical="center"/>
    </xf>
    <xf numFmtId="0" fontId="60" fillId="0" borderId="0" xfId="3" applyFont="1" applyFill="1" applyBorder="1" applyAlignment="1">
      <alignment wrapText="1"/>
    </xf>
    <xf numFmtId="171" fontId="4" fillId="0" borderId="0" xfId="3" applyNumberFormat="1" applyFill="1" applyBorder="1"/>
    <xf numFmtId="3" fontId="4" fillId="0" borderId="0" xfId="3" applyNumberFormat="1" applyFill="1" applyBorder="1" applyAlignment="1">
      <alignment horizontal="center" vertical="center"/>
    </xf>
    <xf numFmtId="0" fontId="4" fillId="0" borderId="0" xfId="3" applyFill="1" applyBorder="1" applyAlignment="1">
      <alignment horizontal="center" vertical="center"/>
    </xf>
    <xf numFmtId="3" fontId="60" fillId="0" borderId="0" xfId="3" applyNumberFormat="1" applyFont="1" applyFill="1" applyBorder="1" applyAlignment="1">
      <alignment horizontal="center" vertical="center"/>
    </xf>
    <xf numFmtId="3" fontId="60" fillId="24" borderId="0" xfId="3" applyNumberFormat="1" applyFont="1" applyFill="1" applyBorder="1"/>
    <xf numFmtId="0" fontId="2" fillId="0" borderId="0" xfId="2" applyFill="1"/>
    <xf numFmtId="0" fontId="2" fillId="0" borderId="0" xfId="2"/>
    <xf numFmtId="0" fontId="84" fillId="0" borderId="6" xfId="2" applyFont="1" applyFill="1" applyBorder="1" applyAlignment="1">
      <alignment wrapText="1"/>
    </xf>
    <xf numFmtId="0" fontId="85" fillId="0" borderId="0" xfId="2" applyFont="1" applyFill="1"/>
    <xf numFmtId="0" fontId="84" fillId="0" borderId="0" xfId="2" applyFont="1" applyFill="1" applyBorder="1" applyAlignment="1">
      <alignment wrapText="1"/>
    </xf>
    <xf numFmtId="0" fontId="84" fillId="0" borderId="0" xfId="2" applyFont="1" applyFill="1" applyBorder="1" applyAlignment="1">
      <alignment horizontal="center" vertical="top" wrapText="1"/>
    </xf>
    <xf numFmtId="0" fontId="86" fillId="0" borderId="59" xfId="2" applyFont="1" applyFill="1" applyBorder="1" applyAlignment="1">
      <alignment wrapText="1"/>
    </xf>
    <xf numFmtId="0" fontId="87" fillId="0" borderId="0" xfId="2" applyFont="1" applyFill="1" applyAlignment="1">
      <alignment vertical="top" wrapText="1"/>
    </xf>
    <xf numFmtId="0" fontId="45" fillId="0" borderId="0" xfId="2" applyFont="1" applyFill="1"/>
    <xf numFmtId="0" fontId="2" fillId="0" borderId="52" xfId="2" applyFill="1" applyBorder="1"/>
    <xf numFmtId="4" fontId="2" fillId="0" borderId="52" xfId="2" applyNumberFormat="1" applyFill="1" applyBorder="1"/>
    <xf numFmtId="0" fontId="3" fillId="0" borderId="52" xfId="2" applyFont="1" applyFill="1" applyBorder="1" applyAlignment="1"/>
    <xf numFmtId="4" fontId="3" fillId="0" borderId="52" xfId="2" applyNumberFormat="1" applyFont="1" applyFill="1" applyBorder="1"/>
    <xf numFmtId="0" fontId="95" fillId="0" borderId="0" xfId="2" applyFont="1"/>
    <xf numFmtId="0" fontId="96" fillId="0" borderId="49" xfId="2" applyFont="1" applyBorder="1" applyAlignment="1">
      <alignment horizontal="center" vertical="center" wrapText="1"/>
    </xf>
    <xf numFmtId="0" fontId="96" fillId="0" borderId="21" xfId="2" applyFont="1" applyBorder="1" applyAlignment="1">
      <alignment horizontal="center" vertical="center" wrapText="1"/>
    </xf>
    <xf numFmtId="0" fontId="97" fillId="0" borderId="22" xfId="2" applyFont="1" applyBorder="1" applyAlignment="1">
      <alignment vertical="center" wrapText="1"/>
    </xf>
    <xf numFmtId="0" fontId="97" fillId="30" borderId="52" xfId="2" applyFont="1" applyFill="1" applyBorder="1" applyAlignment="1">
      <alignment horizontal="center" vertical="center" wrapText="1"/>
    </xf>
    <xf numFmtId="0" fontId="97" fillId="0" borderId="53" xfId="2" applyFont="1" applyBorder="1" applyAlignment="1">
      <alignment horizontal="center" vertical="center"/>
    </xf>
    <xf numFmtId="0" fontId="97" fillId="0" borderId="52" xfId="2" applyFont="1" applyBorder="1" applyAlignment="1">
      <alignment horizontal="center" vertical="center" wrapText="1"/>
    </xf>
    <xf numFmtId="0" fontId="95" fillId="0" borderId="52" xfId="2" applyFont="1" applyBorder="1" applyAlignment="1">
      <alignment horizontal="center"/>
    </xf>
    <xf numFmtId="0" fontId="97" fillId="0" borderId="55" xfId="2" applyFont="1" applyBorder="1" applyAlignment="1">
      <alignment vertical="center" wrapText="1"/>
    </xf>
    <xf numFmtId="0" fontId="97" fillId="0" borderId="56" xfId="2" applyFont="1" applyBorder="1" applyAlignment="1">
      <alignment vertical="center" wrapText="1"/>
    </xf>
    <xf numFmtId="0" fontId="97" fillId="31" borderId="56" xfId="2" applyFont="1" applyFill="1" applyBorder="1" applyAlignment="1">
      <alignment horizontal="center" vertical="center" wrapText="1"/>
    </xf>
    <xf numFmtId="0" fontId="97" fillId="31" borderId="57" xfId="2" applyFont="1" applyFill="1" applyBorder="1" applyAlignment="1">
      <alignment horizontal="center" vertical="center" wrapText="1"/>
    </xf>
    <xf numFmtId="0" fontId="62" fillId="32" borderId="52" xfId="2" applyFont="1" applyFill="1" applyBorder="1" applyAlignment="1">
      <alignment horizontal="center" vertical="center" wrapText="1"/>
    </xf>
    <xf numFmtId="0" fontId="97" fillId="32" borderId="52" xfId="2" applyFont="1" applyFill="1" applyBorder="1" applyAlignment="1">
      <alignment horizontal="center" vertical="center" wrapText="1"/>
    </xf>
    <xf numFmtId="0" fontId="97" fillId="32" borderId="53" xfId="2" applyFont="1" applyFill="1" applyBorder="1" applyAlignment="1">
      <alignment horizontal="center" vertical="center" wrapText="1"/>
    </xf>
    <xf numFmtId="0" fontId="97" fillId="0" borderId="22" xfId="2" applyFont="1" applyBorder="1" applyAlignment="1">
      <alignment horizontal="center" vertical="center" wrapText="1"/>
    </xf>
    <xf numFmtId="0" fontId="99" fillId="0" borderId="22" xfId="2" applyFont="1" applyBorder="1" applyAlignment="1">
      <alignment horizontal="center" vertical="center" wrapText="1"/>
    </xf>
    <xf numFmtId="0" fontId="97" fillId="0" borderId="27" xfId="2" applyFont="1" applyBorder="1" applyAlignment="1">
      <alignment horizontal="center" vertical="center" wrapText="1"/>
    </xf>
    <xf numFmtId="2" fontId="95" fillId="0" borderId="52" xfId="2" applyNumberFormat="1" applyFont="1" applyBorder="1" applyAlignment="1">
      <alignment horizontal="center"/>
    </xf>
    <xf numFmtId="0" fontId="99" fillId="0" borderId="52" xfId="2" applyFont="1" applyBorder="1" applyAlignment="1">
      <alignment horizontal="center" wrapText="1"/>
    </xf>
    <xf numFmtId="0" fontId="99" fillId="0" borderId="52" xfId="2" applyFont="1" applyBorder="1" applyAlignment="1">
      <alignment horizontal="center" vertical="center" wrapText="1"/>
    </xf>
    <xf numFmtId="0" fontId="97" fillId="0" borderId="53" xfId="2" applyFont="1" applyBorder="1" applyAlignment="1">
      <alignment horizontal="center" vertical="center" wrapText="1"/>
    </xf>
    <xf numFmtId="0" fontId="97" fillId="35" borderId="52" xfId="2" applyFont="1" applyFill="1" applyBorder="1" applyAlignment="1">
      <alignment horizontal="center" vertical="center" wrapText="1"/>
    </xf>
    <xf numFmtId="0" fontId="97" fillId="35" borderId="52" xfId="2" applyFont="1" applyFill="1" applyBorder="1" applyAlignment="1">
      <alignment vertical="center" wrapText="1"/>
    </xf>
    <xf numFmtId="0" fontId="97" fillId="0" borderId="39" xfId="2" applyFont="1" applyBorder="1" applyAlignment="1">
      <alignment horizontal="center" vertical="center" wrapText="1"/>
    </xf>
    <xf numFmtId="0" fontId="97" fillId="35" borderId="39" xfId="2" applyFont="1" applyFill="1" applyBorder="1" applyAlignment="1">
      <alignment horizontal="center" vertical="center" wrapText="1"/>
    </xf>
    <xf numFmtId="0" fontId="97" fillId="35" borderId="39" xfId="2" applyFont="1" applyFill="1" applyBorder="1" applyAlignment="1">
      <alignment vertical="center" wrapText="1"/>
    </xf>
    <xf numFmtId="0" fontId="97" fillId="0" borderId="56" xfId="2" applyFont="1" applyBorder="1" applyAlignment="1">
      <alignment horizontal="center" vertical="center" wrapText="1"/>
    </xf>
    <xf numFmtId="0" fontId="95" fillId="35" borderId="0" xfId="2" applyFont="1" applyFill="1"/>
    <xf numFmtId="4" fontId="100" fillId="36" borderId="0" xfId="2" applyNumberFormat="1" applyFont="1" applyFill="1" applyBorder="1" applyAlignment="1"/>
    <xf numFmtId="4" fontId="100" fillId="36" borderId="47" xfId="2" applyNumberFormat="1" applyFont="1" applyFill="1" applyBorder="1" applyAlignment="1">
      <alignment horizontal="right"/>
    </xf>
    <xf numFmtId="4" fontId="101" fillId="36" borderId="0" xfId="2" applyNumberFormat="1" applyFont="1" applyFill="1" applyBorder="1" applyAlignment="1"/>
    <xf numFmtId="4" fontId="101" fillId="36" borderId="44" xfId="2" applyNumberFormat="1" applyFont="1" applyFill="1" applyBorder="1" applyAlignment="1">
      <alignment horizontal="right"/>
    </xf>
    <xf numFmtId="0" fontId="76" fillId="21" borderId="52" xfId="2" applyFont="1" applyFill="1" applyBorder="1" applyAlignment="1">
      <alignment vertical="center"/>
    </xf>
    <xf numFmtId="0" fontId="76" fillId="21" borderId="52" xfId="2" applyFont="1" applyFill="1" applyBorder="1" applyAlignment="1">
      <alignment horizontal="center" vertical="center"/>
    </xf>
    <xf numFmtId="0" fontId="102" fillId="0" borderId="52" xfId="2" applyFont="1" applyBorder="1" applyAlignment="1">
      <alignment horizontal="right" vertical="center"/>
    </xf>
    <xf numFmtId="0" fontId="102" fillId="0" borderId="52" xfId="2" applyFont="1" applyBorder="1" applyAlignment="1">
      <alignment horizontal="center" vertical="center"/>
    </xf>
    <xf numFmtId="0" fontId="95" fillId="0" borderId="52" xfId="2" applyFont="1" applyBorder="1" applyAlignment="1">
      <alignment horizontal="right" vertical="center"/>
    </xf>
    <xf numFmtId="4" fontId="95" fillId="0" borderId="52" xfId="2" applyNumberFormat="1" applyFont="1" applyBorder="1" applyAlignment="1">
      <alignment vertical="center"/>
    </xf>
    <xf numFmtId="4" fontId="95" fillId="0" borderId="52" xfId="2" applyNumberFormat="1" applyFont="1" applyBorder="1"/>
    <xf numFmtId="0" fontId="62" fillId="32" borderId="37" xfId="2" applyFont="1" applyFill="1" applyBorder="1" applyAlignment="1">
      <alignment horizontal="center" vertical="center" wrapText="1"/>
    </xf>
    <xf numFmtId="0" fontId="62" fillId="37" borderId="30" xfId="2" applyFont="1" applyFill="1" applyBorder="1" applyAlignment="1">
      <alignment wrapText="1"/>
    </xf>
    <xf numFmtId="0" fontId="62" fillId="37" borderId="50" xfId="2" applyFont="1" applyFill="1" applyBorder="1" applyAlignment="1">
      <alignment horizontal="center" wrapText="1"/>
    </xf>
    <xf numFmtId="0" fontId="62" fillId="37" borderId="51" xfId="2" applyFont="1" applyFill="1" applyBorder="1" applyAlignment="1">
      <alignment horizontal="center" wrapText="1"/>
    </xf>
    <xf numFmtId="0" fontId="2" fillId="0" borderId="0" xfId="2" applyBorder="1"/>
    <xf numFmtId="0" fontId="90" fillId="0" borderId="0" xfId="2" applyFont="1" applyBorder="1" applyAlignment="1">
      <alignment vertical="top" wrapText="1"/>
    </xf>
    <xf numFmtId="0" fontId="2" fillId="0" borderId="0" xfId="2" applyFont="1" applyBorder="1"/>
    <xf numFmtId="3" fontId="93" fillId="0" borderId="0" xfId="2" applyNumberFormat="1" applyFont="1" applyBorder="1" applyAlignment="1">
      <alignment horizontal="center" vertical="center" wrapText="1"/>
    </xf>
    <xf numFmtId="3" fontId="44" fillId="0" borderId="0" xfId="2" applyNumberFormat="1" applyFont="1" applyBorder="1" applyAlignment="1">
      <alignment horizontal="center"/>
    </xf>
    <xf numFmtId="4" fontId="2" fillId="0" borderId="0" xfId="2" applyNumberFormat="1" applyBorder="1"/>
    <xf numFmtId="3" fontId="86" fillId="0" borderId="52" xfId="2" applyNumberFormat="1" applyFont="1" applyFill="1" applyBorder="1" applyAlignment="1">
      <alignment horizontal="center" wrapText="1"/>
    </xf>
    <xf numFmtId="0" fontId="92" fillId="0" borderId="52" xfId="2" applyFont="1" applyFill="1" applyBorder="1" applyAlignment="1">
      <alignment horizontal="center" wrapText="1"/>
    </xf>
    <xf numFmtId="0" fontId="89" fillId="21" borderId="52" xfId="2" applyFont="1" applyFill="1" applyBorder="1" applyAlignment="1">
      <alignment horizontal="center" vertical="center" wrapText="1"/>
    </xf>
    <xf numFmtId="0" fontId="103" fillId="0" borderId="0" xfId="2" applyFont="1"/>
    <xf numFmtId="0" fontId="103" fillId="0" borderId="0" xfId="2" applyFont="1" applyAlignment="1">
      <alignment vertical="center"/>
    </xf>
    <xf numFmtId="0" fontId="104" fillId="0" borderId="0" xfId="3" applyFont="1"/>
    <xf numFmtId="0" fontId="105" fillId="0" borderId="0" xfId="3" applyFont="1"/>
    <xf numFmtId="3" fontId="4" fillId="20" borderId="52" xfId="3" applyNumberFormat="1" applyFill="1" applyBorder="1"/>
    <xf numFmtId="3" fontId="4" fillId="23" borderId="0" xfId="3" applyNumberFormat="1" applyFill="1"/>
    <xf numFmtId="3" fontId="4" fillId="0" borderId="52" xfId="3" applyNumberFormat="1" applyBorder="1"/>
    <xf numFmtId="2" fontId="4" fillId="0" borderId="52" xfId="3" applyNumberFormat="1" applyBorder="1"/>
    <xf numFmtId="0" fontId="106" fillId="21" borderId="0" xfId="3" applyFont="1" applyFill="1"/>
    <xf numFmtId="3" fontId="4" fillId="0" borderId="2" xfId="3" applyNumberFormat="1" applyBorder="1"/>
    <xf numFmtId="0" fontId="27" fillId="0" borderId="0" xfId="51" applyFont="1" applyAlignment="1">
      <alignment horizontal="center" vertical="center"/>
    </xf>
    <xf numFmtId="181" fontId="4" fillId="0" borderId="0" xfId="3" applyNumberFormat="1"/>
    <xf numFmtId="3" fontId="4" fillId="38" borderId="0" xfId="3" applyNumberFormat="1" applyFill="1"/>
    <xf numFmtId="170" fontId="4" fillId="0" borderId="52" xfId="3" applyNumberFormat="1" applyBorder="1"/>
    <xf numFmtId="3" fontId="4" fillId="0" borderId="0" xfId="3" applyNumberFormat="1" applyAlignment="1">
      <alignment shrinkToFit="1"/>
    </xf>
    <xf numFmtId="0" fontId="95" fillId="21" borderId="52" xfId="2" applyFont="1" applyFill="1" applyBorder="1"/>
    <xf numFmtId="0" fontId="95" fillId="0" borderId="52" xfId="2" applyFont="1" applyBorder="1"/>
    <xf numFmtId="0" fontId="108" fillId="0" borderId="52" xfId="2" applyFont="1" applyBorder="1" applyAlignment="1">
      <alignment vertical="center" wrapText="1"/>
    </xf>
    <xf numFmtId="1" fontId="95" fillId="0" borderId="52" xfId="2" applyNumberFormat="1" applyFont="1" applyBorder="1"/>
    <xf numFmtId="0" fontId="95" fillId="35" borderId="52" xfId="2" applyFont="1" applyFill="1" applyBorder="1"/>
    <xf numFmtId="0" fontId="108" fillId="35" borderId="52" xfId="2" applyFont="1" applyFill="1" applyBorder="1" applyAlignment="1">
      <alignment vertical="center" wrapText="1"/>
    </xf>
    <xf numFmtId="0" fontId="95" fillId="35" borderId="52" xfId="2" applyFont="1" applyFill="1" applyBorder="1" applyAlignment="1">
      <alignment horizontal="center"/>
    </xf>
    <xf numFmtId="0" fontId="102" fillId="0" borderId="52" xfId="2" applyFont="1" applyFill="1" applyBorder="1" applyAlignment="1">
      <alignment vertical="center"/>
    </xf>
    <xf numFmtId="0" fontId="102" fillId="0" borderId="52" xfId="2" applyFont="1" applyFill="1" applyBorder="1" applyAlignment="1">
      <alignment horizontal="center" vertical="center"/>
    </xf>
    <xf numFmtId="9" fontId="2" fillId="0" borderId="0" xfId="1" applyFont="1"/>
    <xf numFmtId="0" fontId="97" fillId="0" borderId="22" xfId="2" applyFont="1" applyFill="1" applyBorder="1" applyAlignment="1">
      <alignment vertical="center" wrapText="1"/>
    </xf>
    <xf numFmtId="0" fontId="97" fillId="0" borderId="52" xfId="2" applyFont="1" applyFill="1" applyBorder="1" applyAlignment="1">
      <alignment horizontal="center" vertical="center" wrapText="1"/>
    </xf>
    <xf numFmtId="0" fontId="95" fillId="0" borderId="52" xfId="2" applyFont="1" applyFill="1" applyBorder="1" applyAlignment="1">
      <alignment horizontal="center"/>
    </xf>
    <xf numFmtId="0" fontId="97" fillId="0" borderId="55" xfId="2" applyFont="1" applyFill="1" applyBorder="1" applyAlignment="1">
      <alignment vertical="center" wrapText="1"/>
    </xf>
    <xf numFmtId="0" fontId="97" fillId="0" borderId="56" xfId="2" applyFont="1" applyFill="1" applyBorder="1" applyAlignment="1">
      <alignment vertical="center" wrapText="1"/>
    </xf>
    <xf numFmtId="0" fontId="97" fillId="0" borderId="56" xfId="2" applyFont="1" applyFill="1" applyBorder="1" applyAlignment="1">
      <alignment horizontal="center" vertical="center" wrapText="1"/>
    </xf>
    <xf numFmtId="0" fontId="97" fillId="0" borderId="57" xfId="2" applyFont="1" applyFill="1" applyBorder="1" applyAlignment="1">
      <alignment horizontal="center" vertical="center" wrapText="1"/>
    </xf>
    <xf numFmtId="0" fontId="97" fillId="0" borderId="53" xfId="2" applyFont="1" applyFill="1" applyBorder="1" applyAlignment="1">
      <alignment horizontal="center" vertical="center" wrapText="1"/>
    </xf>
    <xf numFmtId="0" fontId="97" fillId="0" borderId="22" xfId="2" applyFont="1" applyFill="1" applyBorder="1" applyAlignment="1">
      <alignment horizontal="center" vertical="center" wrapText="1"/>
    </xf>
    <xf numFmtId="0" fontId="99" fillId="0" borderId="22" xfId="2" applyFont="1" applyFill="1" applyBorder="1" applyAlignment="1">
      <alignment horizontal="center" vertical="center" wrapText="1"/>
    </xf>
    <xf numFmtId="0" fontId="97" fillId="0" borderId="27" xfId="2" applyFont="1" applyFill="1" applyBorder="1" applyAlignment="1">
      <alignment horizontal="center" vertical="center" wrapText="1"/>
    </xf>
    <xf numFmtId="2" fontId="95" fillId="0" borderId="52" xfId="2" applyNumberFormat="1" applyFont="1" applyFill="1" applyBorder="1" applyAlignment="1">
      <alignment horizontal="center"/>
    </xf>
    <xf numFmtId="0" fontId="99" fillId="0" borderId="52" xfId="2" applyFont="1" applyFill="1" applyBorder="1" applyAlignment="1">
      <alignment horizontal="center" wrapText="1"/>
    </xf>
    <xf numFmtId="0" fontId="99" fillId="0" borderId="52" xfId="2" applyFont="1" applyFill="1" applyBorder="1" applyAlignment="1">
      <alignment horizontal="center" vertical="center" wrapText="1"/>
    </xf>
    <xf numFmtId="0" fontId="97" fillId="0" borderId="52" xfId="2" applyFont="1" applyFill="1" applyBorder="1" applyAlignment="1">
      <alignment vertical="center" wrapText="1"/>
    </xf>
    <xf numFmtId="0" fontId="97" fillId="0" borderId="39" xfId="2" applyFont="1" applyFill="1" applyBorder="1" applyAlignment="1">
      <alignment horizontal="center" vertical="center" wrapText="1"/>
    </xf>
    <xf numFmtId="0" fontId="97" fillId="0" borderId="39" xfId="2" applyFont="1" applyFill="1" applyBorder="1" applyAlignment="1">
      <alignment vertical="center" wrapText="1"/>
    </xf>
    <xf numFmtId="4" fontId="62" fillId="36" borderId="47" xfId="2" applyNumberFormat="1" applyFont="1" applyFill="1" applyBorder="1" applyAlignment="1">
      <alignment horizontal="right"/>
    </xf>
    <xf numFmtId="4" fontId="62" fillId="36" borderId="44" xfId="2" applyNumberFormat="1" applyFont="1" applyFill="1" applyBorder="1" applyAlignment="1">
      <alignment horizontal="right"/>
    </xf>
    <xf numFmtId="0" fontId="62" fillId="39" borderId="52" xfId="2" applyFont="1" applyFill="1" applyBorder="1" applyAlignment="1">
      <alignment horizontal="center" vertical="center" wrapText="1"/>
    </xf>
    <xf numFmtId="0" fontId="97" fillId="39" borderId="52" xfId="2" applyFont="1" applyFill="1" applyBorder="1" applyAlignment="1">
      <alignment horizontal="center" vertical="center" wrapText="1"/>
    </xf>
    <xf numFmtId="0" fontId="97" fillId="39" borderId="53" xfId="2" applyFont="1" applyFill="1" applyBorder="1" applyAlignment="1">
      <alignment horizontal="center" vertical="center" wrapText="1"/>
    </xf>
    <xf numFmtId="0" fontId="62" fillId="40" borderId="37" xfId="2" applyFont="1" applyFill="1" applyBorder="1" applyAlignment="1">
      <alignment vertical="center" wrapText="1"/>
    </xf>
    <xf numFmtId="0" fontId="97" fillId="40" borderId="52" xfId="2" applyFont="1" applyFill="1" applyBorder="1" applyAlignment="1">
      <alignment horizontal="center" vertical="center" wrapText="1"/>
    </xf>
    <xf numFmtId="0" fontId="97" fillId="40" borderId="53" xfId="2" applyFont="1" applyFill="1" applyBorder="1" applyAlignment="1">
      <alignment horizontal="center" vertical="center" wrapText="1"/>
    </xf>
    <xf numFmtId="0" fontId="62" fillId="37" borderId="52" xfId="2" applyFont="1" applyFill="1" applyBorder="1" applyAlignment="1">
      <alignment horizontal="center" wrapText="1"/>
    </xf>
    <xf numFmtId="0" fontId="97" fillId="0" borderId="27" xfId="2" applyFont="1" applyFill="1" applyBorder="1" applyAlignment="1">
      <alignment horizontal="center" vertical="center"/>
    </xf>
    <xf numFmtId="0" fontId="62" fillId="37" borderId="52" xfId="2" applyFont="1" applyFill="1" applyBorder="1" applyAlignment="1">
      <alignment wrapText="1"/>
    </xf>
    <xf numFmtId="0" fontId="96" fillId="21" borderId="52" xfId="2" applyFont="1" applyFill="1" applyBorder="1" applyAlignment="1">
      <alignment horizontal="center" vertical="center" wrapText="1"/>
    </xf>
    <xf numFmtId="0" fontId="97" fillId="0" borderId="52" xfId="2" applyFont="1" applyFill="1" applyBorder="1" applyAlignment="1">
      <alignment horizontal="center" wrapText="1"/>
    </xf>
    <xf numFmtId="0" fontId="62" fillId="29" borderId="49" xfId="2" applyFont="1" applyFill="1" applyBorder="1" applyAlignment="1">
      <alignment horizontal="center" vertical="center" wrapText="1"/>
    </xf>
    <xf numFmtId="0" fontId="62" fillId="29" borderId="54" xfId="2" applyFont="1" applyFill="1" applyBorder="1" applyAlignment="1">
      <alignment horizontal="center" vertical="center" wrapText="1"/>
    </xf>
    <xf numFmtId="0" fontId="62" fillId="33" borderId="54" xfId="2" applyFont="1" applyFill="1" applyBorder="1" applyAlignment="1">
      <alignment horizontal="center" vertical="center" wrapText="1"/>
    </xf>
    <xf numFmtId="0" fontId="62" fillId="33" borderId="58" xfId="2" applyFont="1" applyFill="1" applyBorder="1" applyAlignment="1">
      <alignment horizontal="center" vertical="center" wrapText="1"/>
    </xf>
    <xf numFmtId="0" fontId="97" fillId="0" borderId="55" xfId="2" applyFont="1" applyBorder="1" applyAlignment="1">
      <alignment horizontal="center" vertical="center" wrapText="1"/>
    </xf>
    <xf numFmtId="0" fontId="97" fillId="0" borderId="22" xfId="2" applyFont="1" applyBorder="1" applyAlignment="1">
      <alignment horizontal="center" vertical="center" wrapText="1"/>
    </xf>
    <xf numFmtId="0" fontId="62" fillId="34" borderId="38" xfId="2" applyFont="1" applyFill="1" applyBorder="1" applyAlignment="1">
      <alignment horizontal="center" vertical="center" wrapText="1"/>
    </xf>
    <xf numFmtId="0" fontId="97" fillId="0" borderId="39" xfId="2" applyFont="1" applyBorder="1" applyAlignment="1">
      <alignment horizontal="center" vertical="center" wrapText="1"/>
    </xf>
    <xf numFmtId="0" fontId="62" fillId="0" borderId="54" xfId="2" applyFont="1" applyFill="1" applyBorder="1" applyAlignment="1">
      <alignment horizontal="center" vertical="center" wrapText="1"/>
    </xf>
    <xf numFmtId="0" fontId="62" fillId="0" borderId="58" xfId="2" applyFont="1" applyFill="1" applyBorder="1" applyAlignment="1">
      <alignment horizontal="center" vertical="center" wrapText="1"/>
    </xf>
    <xf numFmtId="0" fontId="97" fillId="0" borderId="55" xfId="2" applyFont="1" applyFill="1" applyBorder="1" applyAlignment="1">
      <alignment horizontal="center" vertical="center" wrapText="1"/>
    </xf>
    <xf numFmtId="0" fontId="97" fillId="0" borderId="22" xfId="2" applyFont="1" applyFill="1" applyBorder="1" applyAlignment="1">
      <alignment horizontal="center" vertical="center" wrapText="1"/>
    </xf>
    <xf numFmtId="0" fontId="62" fillId="0" borderId="38" xfId="2" applyFont="1" applyFill="1" applyBorder="1" applyAlignment="1">
      <alignment vertical="center" wrapText="1"/>
    </xf>
    <xf numFmtId="0" fontId="97" fillId="0" borderId="39" xfId="2" applyFont="1" applyFill="1" applyBorder="1" applyAlignment="1">
      <alignment horizontal="center" vertical="center" wrapText="1"/>
    </xf>
    <xf numFmtId="0" fontId="2" fillId="0" borderId="0" xfId="2" applyBorder="1" applyAlignment="1">
      <alignment horizontal="center"/>
    </xf>
    <xf numFmtId="0" fontId="88" fillId="21" borderId="60" xfId="2" applyFont="1" applyFill="1" applyBorder="1" applyAlignment="1">
      <alignment horizontal="center" wrapText="1"/>
    </xf>
    <xf numFmtId="0" fontId="88" fillId="21" borderId="53" xfId="2" applyFont="1" applyFill="1" applyBorder="1" applyAlignment="1">
      <alignment horizontal="center" wrapText="1"/>
    </xf>
    <xf numFmtId="0" fontId="88" fillId="21" borderId="61" xfId="2" applyFont="1" applyFill="1" applyBorder="1" applyAlignment="1">
      <alignment horizontal="center" wrapText="1"/>
    </xf>
    <xf numFmtId="3" fontId="91" fillId="0" borderId="60" xfId="2" applyNumberFormat="1" applyFont="1" applyFill="1" applyBorder="1" applyAlignment="1">
      <alignment horizontal="center" wrapText="1"/>
    </xf>
    <xf numFmtId="3" fontId="91" fillId="0" borderId="53" xfId="2" applyNumberFormat="1" applyFont="1" applyFill="1" applyBorder="1" applyAlignment="1">
      <alignment horizontal="center" wrapText="1"/>
    </xf>
    <xf numFmtId="3" fontId="91" fillId="0" borderId="61" xfId="2" applyNumberFormat="1" applyFont="1" applyFill="1" applyBorder="1" applyAlignment="1">
      <alignment horizontal="center" wrapText="1"/>
    </xf>
    <xf numFmtId="0" fontId="94" fillId="0" borderId="52" xfId="2" applyFont="1" applyFill="1" applyBorder="1" applyAlignment="1">
      <alignment horizontal="center"/>
    </xf>
    <xf numFmtId="0" fontId="2" fillId="0" borderId="52" xfId="2" applyFill="1" applyBorder="1" applyAlignment="1">
      <alignment horizontal="right"/>
    </xf>
    <xf numFmtId="0" fontId="3" fillId="0" borderId="52" xfId="2" applyFont="1" applyFill="1" applyBorder="1" applyAlignment="1">
      <alignment horizontal="right"/>
    </xf>
  </cellXfs>
  <cellStyles count="100">
    <cellStyle name="_ieguld.plāns" xfId="4"/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40% - Accent1" xfId="11"/>
    <cellStyle name="40% - Accent2" xfId="12"/>
    <cellStyle name="40% - Accent3" xfId="13"/>
    <cellStyle name="40% - Accent4" xfId="14"/>
    <cellStyle name="40% - Accent5" xfId="15"/>
    <cellStyle name="40% - Accent6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prēķināšana 2" xfId="23"/>
    <cellStyle name="Atdalītāji 2" xfId="24"/>
    <cellStyle name="Atdalītāji 3" xfId="25"/>
    <cellStyle name="Atdalītāji 4" xfId="26"/>
    <cellStyle name="Atdalītāji 5" xfId="27"/>
    <cellStyle name="Bad" xfId="28"/>
    <cellStyle name="Check Cell" xfId="29"/>
    <cellStyle name="Comma 2" xfId="30"/>
    <cellStyle name="Comma0" xfId="31"/>
    <cellStyle name="Currency0" xfId="32"/>
    <cellStyle name="Date" xfId="33"/>
    <cellStyle name="Euro" xfId="34"/>
    <cellStyle name="Explanatory Text" xfId="35"/>
    <cellStyle name="Fixed" xfId="36"/>
    <cellStyle name="Good" xfId="37"/>
    <cellStyle name="Heading 1" xfId="38"/>
    <cellStyle name="Heading 2" xfId="39"/>
    <cellStyle name="Heading 3" xfId="40"/>
    <cellStyle name="Heading 4" xfId="41"/>
    <cellStyle name="Hipersaite 2" xfId="42"/>
    <cellStyle name="Hyperlink" xfId="95" builtinId="8"/>
    <cellStyle name="Izvade 2" xfId="96"/>
    <cellStyle name="Komats 2" xfId="43"/>
    <cellStyle name="Komats 3" xfId="44"/>
    <cellStyle name="Linked Cell" xfId="45"/>
    <cellStyle name="Normal" xfId="0" builtinId="0"/>
    <cellStyle name="Normal 18" xfId="46"/>
    <cellStyle name="Normal 2" xfId="47"/>
    <cellStyle name="Normal 2 2" xfId="48"/>
    <cellStyle name="Normal 2 2 2" xfId="49"/>
    <cellStyle name="Normal 2_Copy of NaudasPlusma_Ventspils_09-07-2010" xfId="50"/>
    <cellStyle name="Normal 3" xfId="51"/>
    <cellStyle name="Normal 4" xfId="52"/>
    <cellStyle name="Normal 5" xfId="53"/>
    <cellStyle name="Normal 5 2" xfId="54"/>
    <cellStyle name="Normal 5 2 2" xfId="55"/>
    <cellStyle name="Normal 5 3" xfId="56"/>
    <cellStyle name="Normal 5_Budž izpilde 2009.g._ieņēmumi" xfId="57"/>
    <cellStyle name="Normal 6" xfId="58"/>
    <cellStyle name="Normal 7" xfId="59"/>
    <cellStyle name="Normal 8" xfId="60"/>
    <cellStyle name="Note" xfId="61"/>
    <cellStyle name="Parastais 2" xfId="2"/>
    <cellStyle name="Parastais 2 2" xfId="62"/>
    <cellStyle name="Parastais 2 3" xfId="98"/>
    <cellStyle name="Parastais 3" xfId="3"/>
    <cellStyle name="Parastais 3 2" xfId="63"/>
    <cellStyle name="Parastais 3 3" xfId="94"/>
    <cellStyle name="Parastais 4" xfId="64"/>
    <cellStyle name="Parastais 5" xfId="65"/>
    <cellStyle name="Parastais 5 2" xfId="66"/>
    <cellStyle name="Parastais 6" xfId="67"/>
    <cellStyle name="Parastais 7" xfId="97"/>
    <cellStyle name="Parastais 8" xfId="99"/>
    <cellStyle name="Parasts 2" xfId="68"/>
    <cellStyle name="Parasts 3" xfId="69"/>
    <cellStyle name="Percent" xfId="1" builtinId="5"/>
    <cellStyle name="Percent 2" xfId="70"/>
    <cellStyle name="Percent 2 2" xfId="71"/>
    <cellStyle name="Percent 2 3" xfId="72"/>
    <cellStyle name="Percent 3" xfId="73"/>
    <cellStyle name="Percent 3 2" xfId="74"/>
    <cellStyle name="Percent 3 2 2" xfId="75"/>
    <cellStyle name="Percent 4" xfId="76"/>
    <cellStyle name="Percent 4 2" xfId="77"/>
    <cellStyle name="Percent 5" xfId="78"/>
    <cellStyle name="Percent 5 2" xfId="79"/>
    <cellStyle name="Percent 5 2 2" xfId="80"/>
    <cellStyle name="Percent 6" xfId="81"/>
    <cellStyle name="Percent 7" xfId="82"/>
    <cellStyle name="Piezīme 2" xfId="83"/>
    <cellStyle name="Procenti 2" xfId="84"/>
    <cellStyle name="Procenti 3" xfId="85"/>
    <cellStyle name="Procenti 4" xfId="86"/>
    <cellStyle name="Procenti 5" xfId="87"/>
    <cellStyle name="Procenti 6" xfId="88"/>
    <cellStyle name="Procenti 7" xfId="89"/>
    <cellStyle name="Standard_BQ tables EELARVE Ja AKTEERIMISE TABEL xls30.01" xfId="90"/>
    <cellStyle name="Stils 1" xfId="91"/>
    <cellStyle name="Style 1" xfId="92"/>
    <cellStyle name="Обычный_e mail SOC CENTRS IERIKU 2B" xfId="9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igars/Eiroprojekts/Viduskurzeme/FA/Finanses/Tarifu_aprekins/Tarifs_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igars/Enviroprojekts/2018_250_FM_biotopi/Aprekini/531/4_Prioritate/Aprekini_4_Priori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EDZĪVOTĀJI"/>
      <sheetName val="ŪDENS_min"/>
      <sheetName val="ŪDENS_vid_max"/>
      <sheetName val="Salīdzinājums"/>
      <sheetName val="Sheet1"/>
      <sheetName val="TARIFS-ultra_filtr_min"/>
      <sheetName val="TARIFS-ultra_filtr_vid_max"/>
      <sheetName val="KREDĪTS"/>
      <sheetName val="INVESTĪCIJA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Prioritāte"/>
      <sheetName val="4.prioritate_1.pielikums"/>
      <sheetName val="I-Investīcijas"/>
      <sheetName val="I-Reizinātāji"/>
      <sheetName val="A-Invest.ieguld.ietekme"/>
      <sheetName val="expluatācijas izmaksas"/>
      <sheetName val="A-Ekon. ieguvumi eitrofikac"/>
      <sheetName val="R-NPV-IRR-BC-4_Prioritāte"/>
      <sheetName val="textam"/>
      <sheetName val="TEV"/>
      <sheetName val="TEV-12-30"/>
      <sheetName val="4_prio_NAI_biotopi"/>
      <sheetName val="Lapa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9">
          <cell r="G9">
            <v>49676.656447276706</v>
          </cell>
          <cell r="H9">
            <v>153422.1597723458</v>
          </cell>
          <cell r="I9">
            <v>22224.705387582886</v>
          </cell>
          <cell r="J9">
            <v>56900.368590348866</v>
          </cell>
          <cell r="K9">
            <v>7169.2598024460895</v>
          </cell>
        </row>
        <row r="10">
          <cell r="G10">
            <v>49676.656447276706</v>
          </cell>
          <cell r="H10">
            <v>153422.1597723458</v>
          </cell>
          <cell r="I10">
            <v>22224.705387582886</v>
          </cell>
          <cell r="J10">
            <v>56900.368590348866</v>
          </cell>
          <cell r="K10">
            <v>7169.2598024460895</v>
          </cell>
        </row>
      </sheetData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ec.europa.eu/eurostat/web/products-datasets/-/namq_10_pc" TargetMode="External"/><Relationship Id="rId4" Type="http://schemas.openxmlformats.org/officeDocument/2006/relationships/comments" Target="../comments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32"/>
  <sheetViews>
    <sheetView view="pageBreakPreview" zoomScaleNormal="85" zoomScaleSheetLayoutView="100" workbookViewId="0">
      <selection activeCell="J9" sqref="J9"/>
    </sheetView>
  </sheetViews>
  <sheetFormatPr defaultRowHeight="15" x14ac:dyDescent="0.25"/>
  <cols>
    <col min="1" max="3" width="1.375" style="207" customWidth="1"/>
    <col min="4" max="4" width="14.5" style="207" customWidth="1"/>
    <col min="5" max="5" width="4.75" style="207" hidden="1" customWidth="1"/>
    <col min="6" max="6" width="8" style="207" customWidth="1"/>
    <col min="7" max="7" width="13.5" style="207" customWidth="1"/>
    <col min="8" max="8" width="10.25" style="207" customWidth="1"/>
    <col min="9" max="9" width="10.625" style="207" customWidth="1"/>
    <col min="10" max="10" width="13.25" style="207" customWidth="1"/>
    <col min="11" max="11" width="13.875" style="207" customWidth="1"/>
    <col min="12" max="18" width="9.625" style="207" customWidth="1"/>
    <col min="19" max="16384" width="9" style="207"/>
  </cols>
  <sheetData>
    <row r="1" spans="1:24" ht="15" customHeight="1" x14ac:dyDescent="0.25">
      <c r="A1" s="277"/>
      <c r="B1" s="278"/>
    </row>
    <row r="2" spans="1:24" ht="15.75" x14ac:dyDescent="0.25">
      <c r="D2" s="303" t="s">
        <v>148</v>
      </c>
    </row>
    <row r="4" spans="1:24" x14ac:dyDescent="0.25">
      <c r="D4" s="207" t="s">
        <v>149</v>
      </c>
    </row>
    <row r="6" spans="1:24" ht="45.75" thickBot="1" x14ac:dyDescent="0.3">
      <c r="D6" s="208"/>
      <c r="E6" s="208" t="s">
        <v>20</v>
      </c>
      <c r="F6" s="208" t="s">
        <v>96</v>
      </c>
      <c r="G6" s="209" t="s">
        <v>97</v>
      </c>
      <c r="H6" s="209" t="s">
        <v>98</v>
      </c>
      <c r="I6" s="209" t="s">
        <v>99</v>
      </c>
      <c r="J6" s="209" t="s">
        <v>100</v>
      </c>
      <c r="K6" s="209" t="s">
        <v>101</v>
      </c>
      <c r="L6" s="209" t="s">
        <v>102</v>
      </c>
      <c r="M6" s="209" t="s">
        <v>103</v>
      </c>
      <c r="N6" s="209" t="s">
        <v>104</v>
      </c>
      <c r="O6" s="209" t="s">
        <v>105</v>
      </c>
      <c r="P6" s="209" t="s">
        <v>106</v>
      </c>
      <c r="Q6" s="209" t="s">
        <v>107</v>
      </c>
      <c r="R6" s="209" t="s">
        <v>108</v>
      </c>
      <c r="S6" s="209" t="s">
        <v>109</v>
      </c>
      <c r="T6" s="209" t="s">
        <v>110</v>
      </c>
      <c r="U6" s="209" t="s">
        <v>111</v>
      </c>
      <c r="V6" s="209" t="s">
        <v>112</v>
      </c>
      <c r="W6" s="209" t="s">
        <v>113</v>
      </c>
      <c r="X6" s="209" t="s">
        <v>114</v>
      </c>
    </row>
    <row r="7" spans="1:24" x14ac:dyDescent="0.25">
      <c r="D7" s="210" t="s">
        <v>115</v>
      </c>
      <c r="E7" s="271">
        <v>152</v>
      </c>
      <c r="F7" s="290">
        <v>149</v>
      </c>
      <c r="G7" s="291">
        <v>23.991</v>
      </c>
      <c r="H7" s="225">
        <f t="shared" ref="H7:H16" si="0">+G7/0.365</f>
        <v>65.728767123287668</v>
      </c>
      <c r="I7" s="291">
        <v>3.59</v>
      </c>
      <c r="J7" s="291">
        <v>0.36699999999999999</v>
      </c>
      <c r="K7" s="295">
        <f>100*(I7-J7)/I7</f>
        <v>89.777158774373262</v>
      </c>
      <c r="L7" s="218">
        <f>(J7*10^9)/(G7*10^6)</f>
        <v>15.297403192863991</v>
      </c>
      <c r="M7" s="212">
        <v>5.0140000000000002</v>
      </c>
      <c r="N7" s="212">
        <v>1.55</v>
      </c>
      <c r="O7" s="218">
        <f>100*(M7-N7)/M7</f>
        <v>69.086557638611893</v>
      </c>
      <c r="P7" s="291">
        <v>3.2629999999999999</v>
      </c>
      <c r="Q7" s="291">
        <v>0.49099999999999999</v>
      </c>
      <c r="R7" s="218">
        <f>100*(P7-Q7)/P7</f>
        <v>84.952497701501684</v>
      </c>
      <c r="S7" s="290"/>
      <c r="T7" s="290"/>
      <c r="U7" s="214" t="e">
        <f t="shared" ref="U7:U12" si="1">100*(S7-T7)/S7</f>
        <v>#DIV/0!</v>
      </c>
      <c r="V7" s="290"/>
      <c r="W7" s="290"/>
      <c r="X7" s="215" t="e">
        <f t="shared" ref="X7:X12" si="2">100*(V7-W7)/V7</f>
        <v>#DIV/0!</v>
      </c>
    </row>
    <row r="8" spans="1:24" x14ac:dyDescent="0.25">
      <c r="A8" s="274"/>
      <c r="B8" s="275"/>
      <c r="C8" s="205"/>
      <c r="D8" s="216" t="s">
        <v>116</v>
      </c>
      <c r="E8" s="272">
        <v>92</v>
      </c>
      <c r="F8" s="291">
        <v>626</v>
      </c>
      <c r="G8" s="291">
        <v>22.065000000000001</v>
      </c>
      <c r="H8" s="225">
        <f t="shared" si="0"/>
        <v>60.452054794520556</v>
      </c>
      <c r="I8" s="291">
        <v>3.0739999999999998</v>
      </c>
      <c r="J8" s="291">
        <v>0.628</v>
      </c>
      <c r="K8" s="295">
        <f>100*(I8-J8)/I8</f>
        <v>79.570592062459326</v>
      </c>
      <c r="L8" s="218">
        <f>J8*1000000000/(G8*1000000)</f>
        <v>28.461364151370951</v>
      </c>
      <c r="M8" s="212">
        <v>8.4580000000000002</v>
      </c>
      <c r="N8" s="212">
        <v>2.4780000000000002</v>
      </c>
      <c r="O8" s="218">
        <f>100*(M8-N8)/M8</f>
        <v>70.702293686450702</v>
      </c>
      <c r="P8" s="291">
        <v>4.3029999999999999</v>
      </c>
      <c r="Q8" s="291">
        <v>0.66800000000000004</v>
      </c>
      <c r="R8" s="218">
        <f>100*(P8-Q8)/P8</f>
        <v>84.475947013711362</v>
      </c>
      <c r="S8" s="291">
        <v>0.28999999999999998</v>
      </c>
      <c r="T8" s="291">
        <v>0.109</v>
      </c>
      <c r="U8" s="218">
        <f t="shared" si="1"/>
        <v>62.41379310344827</v>
      </c>
      <c r="V8" s="291">
        <v>2.3660000000000001</v>
      </c>
      <c r="W8" s="291">
        <v>0.82099999999999995</v>
      </c>
      <c r="X8" s="219">
        <f t="shared" si="2"/>
        <v>65.300084530853766</v>
      </c>
    </row>
    <row r="9" spans="1:24" x14ac:dyDescent="0.25">
      <c r="A9" s="274"/>
      <c r="B9" s="275"/>
      <c r="D9" s="216" t="s">
        <v>117</v>
      </c>
      <c r="E9" s="272">
        <v>31</v>
      </c>
      <c r="F9" s="291">
        <v>206</v>
      </c>
      <c r="G9" s="291">
        <v>61.783999999999999</v>
      </c>
      <c r="H9" s="225">
        <f t="shared" si="0"/>
        <v>169.27123287671233</v>
      </c>
      <c r="I9" s="291">
        <v>11.512</v>
      </c>
      <c r="J9" s="291">
        <v>2.8029999999999999</v>
      </c>
      <c r="K9" s="295">
        <f>100*(I9-J9)/I9</f>
        <v>75.65149409312022</v>
      </c>
      <c r="L9" s="218">
        <f>(J9*10^9)/(G9*10^6)</f>
        <v>45.367732746342092</v>
      </c>
      <c r="M9" s="212">
        <v>34.405999999999999</v>
      </c>
      <c r="N9" s="212">
        <v>10.846</v>
      </c>
      <c r="O9" s="218">
        <f>100*(M9-N9)/M9</f>
        <v>68.476428529907579</v>
      </c>
      <c r="P9" s="291">
        <v>18.763000000000002</v>
      </c>
      <c r="Q9" s="291">
        <v>3.95</v>
      </c>
      <c r="R9" s="218">
        <f>100*(P9-Q9)/P9</f>
        <v>78.94792943559132</v>
      </c>
      <c r="S9" s="291">
        <v>0.89</v>
      </c>
      <c r="T9" s="291">
        <v>0.19700000000000001</v>
      </c>
      <c r="U9" s="218">
        <f t="shared" si="1"/>
        <v>77.86516853932585</v>
      </c>
      <c r="V9" s="291">
        <v>5.4539999999999997</v>
      </c>
      <c r="W9" s="291">
        <v>1.9419999999999999</v>
      </c>
      <c r="X9" s="219">
        <f t="shared" si="2"/>
        <v>64.393105977264383</v>
      </c>
    </row>
    <row r="10" spans="1:24" x14ac:dyDescent="0.25">
      <c r="A10" s="274"/>
      <c r="B10" s="275"/>
      <c r="D10" s="216" t="s">
        <v>118</v>
      </c>
      <c r="E10" s="272">
        <v>69</v>
      </c>
      <c r="F10" s="291">
        <v>689</v>
      </c>
      <c r="G10" s="291">
        <v>23.367999999999999</v>
      </c>
      <c r="H10" s="225">
        <f t="shared" si="0"/>
        <v>64.021917808219172</v>
      </c>
      <c r="I10" s="291">
        <v>325.14</v>
      </c>
      <c r="J10" s="291">
        <v>67.837000000000003</v>
      </c>
      <c r="K10" s="295">
        <f>100*(I10-J10)/I10</f>
        <v>79.13606446453835</v>
      </c>
      <c r="L10" s="294">
        <f>(J10*10^9)/(G10*10^6)</f>
        <v>2902.9869907565903</v>
      </c>
      <c r="M10" s="212">
        <v>450.62900000000002</v>
      </c>
      <c r="N10" s="212">
        <v>99.54</v>
      </c>
      <c r="O10" s="218">
        <f>100*(M10-N10)/M10</f>
        <v>77.910875687095142</v>
      </c>
      <c r="P10" s="291">
        <v>281.10899999999998</v>
      </c>
      <c r="Q10" s="291">
        <v>55.676000000000002</v>
      </c>
      <c r="R10" s="218">
        <f>100*(P10-Q10)/P10</f>
        <v>80.194159560882085</v>
      </c>
      <c r="S10" s="291">
        <v>2.62</v>
      </c>
      <c r="T10" s="291">
        <v>1.288</v>
      </c>
      <c r="U10" s="218">
        <f t="shared" si="1"/>
        <v>50.839694656488554</v>
      </c>
      <c r="V10" s="291">
        <v>8.07</v>
      </c>
      <c r="W10" s="291">
        <v>3.84</v>
      </c>
      <c r="X10" s="219">
        <f t="shared" si="2"/>
        <v>52.416356877323423</v>
      </c>
    </row>
    <row r="11" spans="1:24" ht="15.75" thickBot="1" x14ac:dyDescent="0.3">
      <c r="A11" s="274"/>
      <c r="B11" s="275"/>
      <c r="D11" s="220" t="s">
        <v>119</v>
      </c>
      <c r="E11" s="273">
        <v>66</v>
      </c>
      <c r="F11" s="292">
        <v>94</v>
      </c>
      <c r="G11" s="292">
        <v>5.1349999999999998</v>
      </c>
      <c r="H11" s="293">
        <f t="shared" si="0"/>
        <v>14.068493150684931</v>
      </c>
      <c r="I11" s="292">
        <v>6.2E-2</v>
      </c>
      <c r="J11" s="292">
        <v>2.3E-2</v>
      </c>
      <c r="K11" s="296">
        <f>100*(I11-J11)/I11</f>
        <v>62.903225806451609</v>
      </c>
      <c r="L11" s="239">
        <f>(J11*10^9)/(G11*10^6)</f>
        <v>4.4790652385589098</v>
      </c>
      <c r="M11" s="297">
        <v>0.13900000000000001</v>
      </c>
      <c r="N11" s="297">
        <v>0.215</v>
      </c>
      <c r="O11" s="296">
        <f>100*(M11-N11)/M11</f>
        <v>-54.676258992805742</v>
      </c>
      <c r="P11" s="279">
        <v>7.1999999999999995E-2</v>
      </c>
      <c r="Q11" s="279">
        <v>3.4000000000000002E-2</v>
      </c>
      <c r="R11" s="222">
        <f>100*(P11-Q11)/P11</f>
        <v>52.777777777777771</v>
      </c>
      <c r="S11" s="292">
        <v>0.06</v>
      </c>
      <c r="T11" s="292">
        <v>8.9999999999999993E-3</v>
      </c>
      <c r="U11" s="222">
        <f t="shared" si="1"/>
        <v>85</v>
      </c>
      <c r="V11" s="292">
        <v>0.51800000000000002</v>
      </c>
      <c r="W11" s="292">
        <v>7.3999999999999996E-2</v>
      </c>
      <c r="X11" s="223">
        <f t="shared" si="2"/>
        <v>85.714285714285708</v>
      </c>
    </row>
    <row r="12" spans="1:24" x14ac:dyDescent="0.25">
      <c r="A12" s="1"/>
      <c r="B12" s="1"/>
      <c r="D12" s="224" t="s">
        <v>120</v>
      </c>
      <c r="E12" s="224"/>
      <c r="F12" s="280">
        <v>1667</v>
      </c>
      <c r="G12" s="281">
        <v>104.878</v>
      </c>
      <c r="H12" s="282">
        <f t="shared" si="0"/>
        <v>287.33698630136985</v>
      </c>
      <c r="I12" s="283">
        <v>6.8484999999999996</v>
      </c>
      <c r="J12" s="283">
        <v>1.0609</v>
      </c>
      <c r="K12" s="282">
        <f t="shared" ref="K12" si="3">100*(I12-J12)/I12</f>
        <v>84.509016572972186</v>
      </c>
      <c r="L12" s="284">
        <f t="shared" ref="L12:L16" si="4">(J12*10^9)/(G12*10^6)</f>
        <v>10.115562844447835</v>
      </c>
      <c r="M12" s="283">
        <v>15.443300000000001</v>
      </c>
      <c r="N12" s="283">
        <v>5.0976999999999997</v>
      </c>
      <c r="O12" s="282">
        <f t="shared" ref="O12" si="5">100*(M12-N12)/M12</f>
        <v>66.990863351744778</v>
      </c>
      <c r="P12" s="283">
        <v>8.9963999999999995</v>
      </c>
      <c r="Q12" s="283">
        <v>2.3519000000000001</v>
      </c>
      <c r="R12" s="282">
        <f t="shared" ref="R12" si="6">100*(P12-Q12)/P12</f>
        <v>73.857320706060193</v>
      </c>
      <c r="S12" s="283"/>
      <c r="T12" s="283"/>
      <c r="U12" s="282" t="e">
        <f t="shared" si="1"/>
        <v>#DIV/0!</v>
      </c>
      <c r="V12" s="283"/>
      <c r="W12" s="283"/>
      <c r="X12" s="282" t="e">
        <f t="shared" si="2"/>
        <v>#DIV/0!</v>
      </c>
    </row>
    <row r="13" spans="1:24" x14ac:dyDescent="0.25">
      <c r="D13" s="226" t="s">
        <v>121</v>
      </c>
      <c r="E13" s="226"/>
      <c r="F13" s="285">
        <v>730</v>
      </c>
      <c r="G13" s="286">
        <v>131.30000000000001</v>
      </c>
      <c r="H13" s="287">
        <f t="shared" si="0"/>
        <v>359.72602739726034</v>
      </c>
      <c r="I13" s="288">
        <v>13.715999999999999</v>
      </c>
      <c r="J13" s="288">
        <v>3.4123999999999999</v>
      </c>
      <c r="K13" s="287">
        <f>100*(I13-J13)/I13</f>
        <v>75.121026538349369</v>
      </c>
      <c r="L13" s="289">
        <f t="shared" si="4"/>
        <v>25.989337395277985</v>
      </c>
      <c r="M13" s="288">
        <v>30.452000000000002</v>
      </c>
      <c r="N13" s="288">
        <v>6.2371999999999996</v>
      </c>
      <c r="O13" s="287">
        <f>100*(M13-N13)/M13</f>
        <v>79.517929856823869</v>
      </c>
      <c r="P13" s="288">
        <v>15.984999999999999</v>
      </c>
      <c r="Q13" s="288">
        <v>1.4844999999999999</v>
      </c>
      <c r="R13" s="287">
        <f>100*(P13-Q13)/P13</f>
        <v>90.713168595558329</v>
      </c>
      <c r="S13" s="288">
        <v>0</v>
      </c>
      <c r="T13" s="288">
        <v>9.622E-2</v>
      </c>
      <c r="U13" s="287" t="e">
        <f>100*(S13-T13)/S13</f>
        <v>#DIV/0!</v>
      </c>
      <c r="V13" s="288">
        <v>0</v>
      </c>
      <c r="W13" s="288">
        <v>0.85404000000000002</v>
      </c>
      <c r="X13" s="287" t="e">
        <f>100*(V13-W13)/V13</f>
        <v>#DIV/0!</v>
      </c>
    </row>
    <row r="14" spans="1:24" x14ac:dyDescent="0.25">
      <c r="D14" s="226" t="s">
        <v>122</v>
      </c>
      <c r="E14" s="226"/>
      <c r="F14" s="285">
        <v>465</v>
      </c>
      <c r="G14" s="286">
        <v>58.582000000000001</v>
      </c>
      <c r="H14" s="287">
        <f t="shared" si="0"/>
        <v>160.49863013698632</v>
      </c>
      <c r="I14" s="288">
        <v>10.105700000000001</v>
      </c>
      <c r="J14" s="288">
        <v>0.1603</v>
      </c>
      <c r="K14" s="287">
        <f>100*(I14-J14)/I14</f>
        <v>98.413766488219522</v>
      </c>
      <c r="L14" s="289">
        <f t="shared" si="4"/>
        <v>2.7363353931241678</v>
      </c>
      <c r="M14" s="288">
        <v>18.539100000000001</v>
      </c>
      <c r="N14" s="288">
        <v>1.0912999999999999</v>
      </c>
      <c r="O14" s="287">
        <f>100*(M14-N14)/M14</f>
        <v>94.113522231392039</v>
      </c>
      <c r="P14" s="288">
        <v>10.111000000000001</v>
      </c>
      <c r="Q14" s="288">
        <v>0.15190000000000001</v>
      </c>
      <c r="R14" s="287">
        <f>100*(P14-Q14)/P14</f>
        <v>98.497675798635157</v>
      </c>
      <c r="S14" s="288">
        <v>0.39300000000000002</v>
      </c>
      <c r="T14" s="288">
        <v>0.18920000000000001</v>
      </c>
      <c r="U14" s="287">
        <f>100*(S14-T14)/S14</f>
        <v>51.857506361323161</v>
      </c>
      <c r="V14" s="288">
        <v>2.6608999999999998</v>
      </c>
      <c r="W14" s="288">
        <v>1.6084000000000001</v>
      </c>
      <c r="X14" s="287">
        <f>100*(V14-W14)/V14</f>
        <v>39.55428614378593</v>
      </c>
    </row>
    <row r="15" spans="1:24" x14ac:dyDescent="0.25">
      <c r="B15" s="227"/>
      <c r="C15" s="228"/>
      <c r="D15" s="226" t="s">
        <v>123</v>
      </c>
      <c r="E15" s="226"/>
      <c r="F15" s="285">
        <v>621</v>
      </c>
      <c r="G15" s="286">
        <v>28.641999999999999</v>
      </c>
      <c r="H15" s="287">
        <f t="shared" si="0"/>
        <v>78.471232876712335</v>
      </c>
      <c r="I15" s="288">
        <v>22.698799999999999</v>
      </c>
      <c r="J15" s="288">
        <v>0.34010000000000001</v>
      </c>
      <c r="K15" s="287">
        <f>100*(I15-J15)/I15</f>
        <v>98.501682908347576</v>
      </c>
      <c r="L15" s="289">
        <f t="shared" si="4"/>
        <v>11.874170798128622</v>
      </c>
      <c r="M15" s="288">
        <v>33.962299999999999</v>
      </c>
      <c r="N15" s="288">
        <v>1.5467</v>
      </c>
      <c r="O15" s="287">
        <f>100*(M15-N15)/M15</f>
        <v>95.445832584954488</v>
      </c>
      <c r="P15" s="288">
        <v>15.6099</v>
      </c>
      <c r="Q15" s="288">
        <v>0.2306</v>
      </c>
      <c r="R15" s="287">
        <f>100*(P15-Q15)/P15</f>
        <v>98.522732368560966</v>
      </c>
      <c r="S15" s="288">
        <v>0.42959999999999998</v>
      </c>
      <c r="T15" s="288">
        <v>0.34710000000000002</v>
      </c>
      <c r="U15" s="287">
        <f>100*(S15-T15)/S15</f>
        <v>19.203910614525132</v>
      </c>
      <c r="V15" s="288">
        <v>3.3540000000000001</v>
      </c>
      <c r="W15" s="288">
        <v>1.9770000000000001</v>
      </c>
      <c r="X15" s="287">
        <f>100*(V15-W15)/V15</f>
        <v>41.055456171735237</v>
      </c>
    </row>
    <row r="16" spans="1:24" x14ac:dyDescent="0.25">
      <c r="D16" s="226" t="s">
        <v>124</v>
      </c>
      <c r="E16" s="226"/>
      <c r="F16" s="285">
        <v>5728</v>
      </c>
      <c r="G16" s="286">
        <v>89.980999999999995</v>
      </c>
      <c r="H16" s="287">
        <f t="shared" si="0"/>
        <v>246.52328767123288</v>
      </c>
      <c r="I16" s="288">
        <v>40.786999999999999</v>
      </c>
      <c r="J16" s="288">
        <v>2.0779999999999998</v>
      </c>
      <c r="K16" s="287">
        <f>100*(I16-J16)/I16</f>
        <v>94.905239414519329</v>
      </c>
      <c r="L16" s="289">
        <f t="shared" si="4"/>
        <v>23.093764239117146</v>
      </c>
      <c r="M16" s="288">
        <v>178.67599999999999</v>
      </c>
      <c r="N16" s="288">
        <v>5.2480000000000002</v>
      </c>
      <c r="O16" s="287">
        <f>100*(M16-N16)/M16</f>
        <v>97.062840000895477</v>
      </c>
      <c r="P16" s="288">
        <v>125.44199999999999</v>
      </c>
      <c r="Q16" s="288">
        <v>1.2549999999999999</v>
      </c>
      <c r="R16" s="287">
        <f>100*(P16-Q16)/P16</f>
        <v>98.999537634922916</v>
      </c>
      <c r="S16" s="288">
        <v>0</v>
      </c>
      <c r="T16" s="288">
        <v>0.32400000000000001</v>
      </c>
      <c r="U16" s="287" t="e">
        <f>100*(S16-T16)/S16</f>
        <v>#DIV/0!</v>
      </c>
      <c r="V16" s="288">
        <v>0</v>
      </c>
      <c r="W16" s="288">
        <v>0.24099999999999999</v>
      </c>
      <c r="X16" s="287" t="e">
        <f>100*(V16-W16)/V16</f>
        <v>#DIV/0!</v>
      </c>
    </row>
    <row r="18" spans="2:24" x14ac:dyDescent="0.25">
      <c r="D18" s="207" t="s">
        <v>125</v>
      </c>
    </row>
    <row r="19" spans="2:24" x14ac:dyDescent="0.25">
      <c r="D19" s="207" t="s">
        <v>126</v>
      </c>
    </row>
    <row r="21" spans="2:24" hidden="1" x14ac:dyDescent="0.25">
      <c r="D21" s="229" t="s">
        <v>127</v>
      </c>
      <c r="E21" s="229"/>
    </row>
    <row r="22" spans="2:24" ht="45.75" hidden="1" thickBot="1" x14ac:dyDescent="0.3">
      <c r="D22" s="208"/>
      <c r="E22" s="208"/>
      <c r="F22" s="208" t="s">
        <v>96</v>
      </c>
      <c r="G22" s="209" t="s">
        <v>97</v>
      </c>
      <c r="H22" s="209" t="s">
        <v>98</v>
      </c>
      <c r="I22" s="209" t="s">
        <v>99</v>
      </c>
      <c r="J22" s="209" t="s">
        <v>100</v>
      </c>
      <c r="K22" s="209" t="s">
        <v>101</v>
      </c>
      <c r="L22" s="209" t="s">
        <v>102</v>
      </c>
      <c r="M22" s="209" t="s">
        <v>103</v>
      </c>
      <c r="N22" s="209" t="s">
        <v>104</v>
      </c>
      <c r="O22" s="209" t="s">
        <v>105</v>
      </c>
      <c r="P22" s="209" t="s">
        <v>106</v>
      </c>
      <c r="Q22" s="209" t="s">
        <v>107</v>
      </c>
      <c r="R22" s="209" t="s">
        <v>108</v>
      </c>
      <c r="S22" s="209" t="s">
        <v>109</v>
      </c>
      <c r="T22" s="209" t="s">
        <v>110</v>
      </c>
      <c r="U22" s="209" t="s">
        <v>111</v>
      </c>
      <c r="V22" s="209" t="s">
        <v>112</v>
      </c>
      <c r="W22" s="209" t="s">
        <v>113</v>
      </c>
      <c r="X22" s="209" t="s">
        <v>114</v>
      </c>
    </row>
    <row r="23" spans="2:24" hidden="1" x14ac:dyDescent="0.25">
      <c r="D23" s="210" t="s">
        <v>115</v>
      </c>
      <c r="E23" s="271"/>
      <c r="F23" s="211">
        <v>149</v>
      </c>
      <c r="G23" s="230">
        <v>23.991</v>
      </c>
      <c r="H23" s="231">
        <f>+G23/0.365</f>
        <v>65.728767123287668</v>
      </c>
      <c r="I23" s="211">
        <v>3.59</v>
      </c>
      <c r="J23" s="211">
        <v>0.36699999999999999</v>
      </c>
      <c r="K23" s="214">
        <f t="shared" ref="K23:K27" si="7">100*(I23-J23)/I23</f>
        <v>89.777158774373262</v>
      </c>
      <c r="L23" s="214">
        <f>(J23*10^9)/(G23*10^6)</f>
        <v>15.297403192863991</v>
      </c>
      <c r="M23" s="211">
        <v>5.0140000000000002</v>
      </c>
      <c r="N23" s="211">
        <v>1.55</v>
      </c>
      <c r="O23" s="232">
        <f t="shared" ref="O23:O27" si="8">100*(M23-N23)/M23</f>
        <v>69.086557638611893</v>
      </c>
      <c r="P23" s="211">
        <v>3.2629999999999999</v>
      </c>
      <c r="Q23" s="211">
        <v>0.49099999999999999</v>
      </c>
      <c r="R23" s="214">
        <f t="shared" ref="R23:R27" si="9">100*(P23-Q23)/P23</f>
        <v>84.952497701501684</v>
      </c>
      <c r="S23" s="211"/>
      <c r="T23" s="211"/>
      <c r="U23" s="214" t="e">
        <f t="shared" ref="U23:U27" si="10">100*(S23-T23)/S23</f>
        <v>#DIV/0!</v>
      </c>
      <c r="V23" s="211"/>
      <c r="W23" s="211"/>
      <c r="X23" s="215" t="e">
        <f t="shared" ref="X23:X27" si="11">100*(V23-W23)/V23</f>
        <v>#DIV/0!</v>
      </c>
    </row>
    <row r="24" spans="2:24" hidden="1" x14ac:dyDescent="0.25">
      <c r="B24" s="205"/>
      <c r="C24" s="205"/>
      <c r="D24" s="216" t="s">
        <v>116</v>
      </c>
      <c r="E24" s="272"/>
      <c r="F24" s="217">
        <v>626</v>
      </c>
      <c r="G24" s="233">
        <v>22.113</v>
      </c>
      <c r="H24" s="234">
        <f t="shared" ref="H24:H27" si="12">+G24/0.365</f>
        <v>60.583561643835615</v>
      </c>
      <c r="I24" s="217">
        <v>13.71</v>
      </c>
      <c r="J24" s="217">
        <v>0.57999999999999996</v>
      </c>
      <c r="K24" s="218">
        <f t="shared" si="7"/>
        <v>95.769511305616334</v>
      </c>
      <c r="L24" s="218">
        <f>J24*1000000000/(G24*1000000)</f>
        <v>26.228915117804007</v>
      </c>
      <c r="M24" s="217">
        <v>24.103000000000002</v>
      </c>
      <c r="N24" s="217">
        <v>2.3959999999999999</v>
      </c>
      <c r="O24" s="218">
        <f t="shared" si="8"/>
        <v>90.059328714267934</v>
      </c>
      <c r="P24" s="217">
        <v>13.71</v>
      </c>
      <c r="Q24" s="217">
        <v>0.79600000000000004</v>
      </c>
      <c r="R24" s="218">
        <f t="shared" si="9"/>
        <v>94.194018964259669</v>
      </c>
      <c r="S24" s="217">
        <v>0.28999999999999998</v>
      </c>
      <c r="T24" s="217">
        <v>0.109</v>
      </c>
      <c r="U24" s="218">
        <f t="shared" si="10"/>
        <v>62.41379310344827</v>
      </c>
      <c r="V24" s="217">
        <v>2.3660000000000001</v>
      </c>
      <c r="W24" s="217">
        <v>0.82099999999999995</v>
      </c>
      <c r="X24" s="219">
        <f t="shared" si="11"/>
        <v>65.300084530853766</v>
      </c>
    </row>
    <row r="25" spans="2:24" hidden="1" x14ac:dyDescent="0.25">
      <c r="D25" s="216" t="s">
        <v>117</v>
      </c>
      <c r="E25" s="272"/>
      <c r="F25" s="217">
        <v>206</v>
      </c>
      <c r="G25" s="233">
        <v>45.164999999999999</v>
      </c>
      <c r="H25" s="234">
        <f t="shared" si="12"/>
        <v>123.73972602739727</v>
      </c>
      <c r="I25" s="217">
        <v>55.100999999999999</v>
      </c>
      <c r="J25" s="217">
        <v>0.77600000000000002</v>
      </c>
      <c r="K25" s="218">
        <f t="shared" si="7"/>
        <v>98.591677102048962</v>
      </c>
      <c r="L25" s="218">
        <f t="shared" ref="L25:L27" si="13">(J25*10^9)/(G25*10^6)</f>
        <v>17.18144580980848</v>
      </c>
      <c r="M25" s="217">
        <v>77.91</v>
      </c>
      <c r="N25" s="217">
        <v>2.891</v>
      </c>
      <c r="O25" s="218">
        <f t="shared" si="8"/>
        <v>96.289308176100619</v>
      </c>
      <c r="P25" s="217">
        <v>44.826000000000001</v>
      </c>
      <c r="Q25" s="217">
        <v>0.30559999999999998</v>
      </c>
      <c r="R25" s="218">
        <f t="shared" si="9"/>
        <v>99.318252799714443</v>
      </c>
      <c r="S25" s="217">
        <v>0.89</v>
      </c>
      <c r="T25" s="217">
        <v>0.19700000000000001</v>
      </c>
      <c r="U25" s="218">
        <f t="shared" si="10"/>
        <v>77.86516853932585</v>
      </c>
      <c r="V25" s="217">
        <v>5.4539999999999997</v>
      </c>
      <c r="W25" s="217">
        <v>1.9419999999999999</v>
      </c>
      <c r="X25" s="219">
        <f t="shared" si="11"/>
        <v>64.393105977264383</v>
      </c>
    </row>
    <row r="26" spans="2:24" hidden="1" x14ac:dyDescent="0.25">
      <c r="D26" s="216" t="s">
        <v>118</v>
      </c>
      <c r="E26" s="272"/>
      <c r="F26" s="217">
        <v>689</v>
      </c>
      <c r="G26" s="233">
        <v>14.090999999999999</v>
      </c>
      <c r="H26" s="234">
        <f t="shared" si="12"/>
        <v>38.605479452054794</v>
      </c>
      <c r="I26" s="217">
        <v>361.89</v>
      </c>
      <c r="J26" s="217">
        <v>70.497</v>
      </c>
      <c r="K26" s="213">
        <f t="shared" si="7"/>
        <v>80.51977120119372</v>
      </c>
      <c r="L26" s="235">
        <f t="shared" si="13"/>
        <v>5002.9806259314455</v>
      </c>
      <c r="M26" s="217">
        <v>425.86</v>
      </c>
      <c r="N26" s="217">
        <v>97.86</v>
      </c>
      <c r="O26" s="218">
        <f t="shared" si="8"/>
        <v>77.020617104212647</v>
      </c>
      <c r="P26" s="217">
        <v>338.45</v>
      </c>
      <c r="Q26" s="217">
        <v>73.099999999999994</v>
      </c>
      <c r="R26" s="218">
        <f t="shared" si="9"/>
        <v>78.401536416014196</v>
      </c>
      <c r="S26" s="217">
        <v>2.62</v>
      </c>
      <c r="T26" s="217">
        <v>1.288</v>
      </c>
      <c r="U26" s="218">
        <f t="shared" si="10"/>
        <v>50.839694656488554</v>
      </c>
      <c r="V26" s="217">
        <v>8.07</v>
      </c>
      <c r="W26" s="217">
        <v>3.84</v>
      </c>
      <c r="X26" s="219">
        <f t="shared" si="11"/>
        <v>52.416356877323423</v>
      </c>
    </row>
    <row r="27" spans="2:24" ht="15.75" hidden="1" thickBot="1" x14ac:dyDescent="0.3">
      <c r="D27" s="220" t="s">
        <v>119</v>
      </c>
      <c r="E27" s="273"/>
      <c r="F27" s="221">
        <v>94</v>
      </c>
      <c r="G27" s="236">
        <v>4.9359999999999999</v>
      </c>
      <c r="H27" s="237">
        <f t="shared" si="12"/>
        <v>13.523287671232877</v>
      </c>
      <c r="I27" s="221">
        <v>2.246</v>
      </c>
      <c r="J27" s="221">
        <v>0.03</v>
      </c>
      <c r="K27" s="238">
        <f t="shared" si="7"/>
        <v>98.664292074799647</v>
      </c>
      <c r="L27" s="239">
        <f t="shared" si="13"/>
        <v>6.0777957860615883</v>
      </c>
      <c r="M27" s="221">
        <v>3.5790000000000002</v>
      </c>
      <c r="N27" s="221">
        <v>0.19900000000000001</v>
      </c>
      <c r="O27" s="222">
        <f t="shared" si="8"/>
        <v>94.439787650181628</v>
      </c>
      <c r="P27" s="221">
        <v>2.048</v>
      </c>
      <c r="Q27" s="221">
        <v>1.9E-2</v>
      </c>
      <c r="R27" s="222">
        <f t="shared" si="9"/>
        <v>99.072265624999986</v>
      </c>
      <c r="S27" s="221">
        <v>0.06</v>
      </c>
      <c r="T27" s="221">
        <v>8.9999999999999993E-3</v>
      </c>
      <c r="U27" s="222">
        <f t="shared" si="10"/>
        <v>85</v>
      </c>
      <c r="V27" s="221">
        <v>0.51800000000000002</v>
      </c>
      <c r="W27" s="221">
        <v>7.3999999999999996E-2</v>
      </c>
      <c r="X27" s="223">
        <f t="shared" si="11"/>
        <v>85.714285714285708</v>
      </c>
    </row>
    <row r="28" spans="2:24" hidden="1" x14ac:dyDescent="0.25">
      <c r="J28" s="240"/>
      <c r="K28" s="240"/>
      <c r="L28" s="240"/>
      <c r="M28" s="240"/>
      <c r="N28" s="240"/>
    </row>
    <row r="29" spans="2:24" x14ac:dyDescent="0.25">
      <c r="J29" s="240"/>
      <c r="K29" s="240"/>
      <c r="L29" s="240"/>
      <c r="M29" s="240"/>
      <c r="N29" s="240"/>
    </row>
    <row r="30" spans="2:24" x14ac:dyDescent="0.25">
      <c r="J30" s="240"/>
      <c r="K30" s="240"/>
      <c r="L30" s="240"/>
      <c r="M30" s="240"/>
      <c r="N30" s="240"/>
    </row>
    <row r="31" spans="2:24" x14ac:dyDescent="0.25">
      <c r="J31" s="240"/>
      <c r="K31" s="240"/>
      <c r="L31" s="240"/>
      <c r="M31" s="240"/>
      <c r="N31" s="240"/>
    </row>
    <row r="32" spans="2:24" x14ac:dyDescent="0.25">
      <c r="J32" s="240"/>
      <c r="K32" s="240"/>
      <c r="L32" s="240"/>
      <c r="M32" s="240"/>
      <c r="N32" s="205"/>
    </row>
  </sheetData>
  <pageMargins left="0.70866141732283505" right="0.4" top="1.35" bottom="0.74803149606299202" header="0.31496062992126" footer="0.31496062992126"/>
  <pageSetup paperSize="9" scale="60" orientation="landscape" r:id="rId1"/>
  <headerFooter>
    <oddFooter>&amp;C&amp;A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P15"/>
  <sheetViews>
    <sheetView view="pageBreakPreview" zoomScale="85" zoomScaleNormal="85" zoomScaleSheetLayoutView="85" workbookViewId="0">
      <pane xSplit="6" ySplit="4" topLeftCell="G5" activePane="bottomRight" state="frozen"/>
      <selection pane="topRight" activeCell="G1" sqref="G1"/>
      <selection pane="bottomLeft" activeCell="A5" sqref="A5"/>
      <selection pane="bottomRight" activeCell="G8" sqref="G8"/>
    </sheetView>
  </sheetViews>
  <sheetFormatPr defaultRowHeight="15" x14ac:dyDescent="0.25"/>
  <cols>
    <col min="1" max="5" width="9" style="425"/>
    <col min="6" max="6" width="12.375" style="425" customWidth="1"/>
    <col min="7" max="7" width="14.25" style="425" customWidth="1"/>
    <col min="8" max="8" width="14.5" style="425" customWidth="1"/>
    <col min="9" max="9" width="13.75" style="425" customWidth="1"/>
    <col min="10" max="10" width="14.25" style="425" customWidth="1"/>
    <col min="11" max="11" width="17.125" style="425" customWidth="1"/>
    <col min="12" max="12" width="9" style="425"/>
    <col min="13" max="13" width="13.125" style="425" customWidth="1"/>
    <col min="14" max="16384" width="9" style="425"/>
  </cols>
  <sheetData>
    <row r="1" spans="1:1004" ht="15.75" x14ac:dyDescent="0.25">
      <c r="A1" s="303" t="str">
        <f>+'4.Prioritāte-5_Pielikums_3d'!A2</f>
        <v>Ekonomisko ieguvumu aprēķins 4.prioritātei</v>
      </c>
      <c r="B1" s="424"/>
      <c r="C1" s="424"/>
      <c r="D1" s="424"/>
      <c r="E1" s="424"/>
      <c r="F1" s="424"/>
    </row>
    <row r="2" spans="1:1004" s="432" customFormat="1" ht="30.75" customHeight="1" x14ac:dyDescent="0.25">
      <c r="A2" s="426"/>
      <c r="B2" s="427"/>
      <c r="C2" s="428"/>
      <c r="D2" s="429"/>
      <c r="E2" s="491" t="s">
        <v>228</v>
      </c>
      <c r="F2" s="430"/>
      <c r="G2" s="431"/>
      <c r="H2" s="431"/>
      <c r="I2" s="431"/>
      <c r="J2" s="431"/>
      <c r="K2" s="431"/>
      <c r="L2" s="431"/>
      <c r="M2" s="431"/>
      <c r="N2" s="431"/>
      <c r="O2" s="431"/>
      <c r="P2" s="431"/>
      <c r="Q2" s="431"/>
      <c r="R2" s="431"/>
      <c r="S2" s="431"/>
      <c r="T2" s="431"/>
      <c r="U2" s="431"/>
      <c r="V2" s="431"/>
      <c r="W2" s="431"/>
      <c r="X2" s="431"/>
      <c r="Y2" s="431"/>
      <c r="Z2" s="431"/>
      <c r="AA2" s="431"/>
      <c r="AB2" s="431"/>
      <c r="AC2" s="431"/>
      <c r="AD2" s="431"/>
      <c r="AE2" s="431"/>
      <c r="AF2" s="431"/>
      <c r="AG2" s="431"/>
      <c r="AH2" s="431"/>
      <c r="AI2" s="431"/>
      <c r="AJ2" s="431"/>
      <c r="AK2" s="431"/>
      <c r="AL2" s="431"/>
      <c r="AM2" s="431"/>
      <c r="AN2" s="431"/>
      <c r="AO2" s="431"/>
      <c r="AP2" s="431"/>
      <c r="AQ2" s="431"/>
      <c r="AR2" s="431"/>
      <c r="AS2" s="431"/>
      <c r="AT2" s="431"/>
      <c r="AU2" s="431"/>
      <c r="AV2" s="431"/>
      <c r="AW2" s="431"/>
      <c r="AX2" s="431"/>
      <c r="AY2" s="431"/>
      <c r="AZ2" s="431"/>
      <c r="BA2" s="431"/>
      <c r="BB2" s="431"/>
      <c r="BC2" s="431"/>
      <c r="BD2" s="431"/>
      <c r="BE2" s="431"/>
      <c r="BF2" s="431"/>
      <c r="BG2" s="431"/>
      <c r="BH2" s="431"/>
      <c r="BI2" s="431"/>
      <c r="BJ2" s="431"/>
      <c r="BK2" s="431"/>
      <c r="BL2" s="431"/>
      <c r="BM2" s="431"/>
      <c r="BN2" s="431"/>
      <c r="BO2" s="431"/>
      <c r="BP2" s="431"/>
      <c r="BQ2" s="431"/>
      <c r="BR2" s="431"/>
      <c r="BS2" s="431"/>
      <c r="BT2" s="431"/>
      <c r="BU2" s="431"/>
      <c r="BV2" s="431"/>
      <c r="BW2" s="431"/>
      <c r="BX2" s="431"/>
      <c r="BY2" s="431"/>
      <c r="BZ2" s="431"/>
      <c r="CA2" s="431"/>
      <c r="CB2" s="431"/>
      <c r="CC2" s="431"/>
      <c r="CD2" s="431"/>
      <c r="CE2" s="431"/>
      <c r="CF2" s="431"/>
      <c r="CG2" s="431"/>
      <c r="CH2" s="431"/>
      <c r="CI2" s="431"/>
      <c r="CJ2" s="431"/>
      <c r="CK2" s="431"/>
      <c r="CL2" s="431"/>
      <c r="CM2" s="431"/>
      <c r="CN2" s="431"/>
      <c r="CO2" s="431"/>
      <c r="CP2" s="431"/>
      <c r="CQ2" s="431"/>
      <c r="CR2" s="431"/>
      <c r="CS2" s="431"/>
      <c r="CT2" s="431"/>
      <c r="CU2" s="431"/>
      <c r="CV2" s="431"/>
      <c r="CW2" s="431"/>
      <c r="CX2" s="431"/>
      <c r="CY2" s="431"/>
      <c r="CZ2" s="431"/>
      <c r="DA2" s="431"/>
      <c r="DB2" s="431"/>
      <c r="DC2" s="431"/>
      <c r="DD2" s="431"/>
      <c r="DE2" s="431"/>
      <c r="DF2" s="431"/>
      <c r="DG2" s="431"/>
      <c r="DH2" s="431"/>
      <c r="DI2" s="431"/>
      <c r="DJ2" s="431"/>
      <c r="DK2" s="431"/>
      <c r="DL2" s="431"/>
      <c r="DM2" s="431"/>
      <c r="DN2" s="431"/>
      <c r="DO2" s="431"/>
      <c r="DP2" s="431"/>
      <c r="DQ2" s="431"/>
      <c r="DR2" s="431"/>
      <c r="DS2" s="431"/>
      <c r="DT2" s="431"/>
      <c r="DU2" s="431"/>
      <c r="DV2" s="431"/>
      <c r="DW2" s="431"/>
      <c r="DX2" s="431"/>
      <c r="DY2" s="431"/>
      <c r="DZ2" s="431"/>
      <c r="EA2" s="431"/>
      <c r="EB2" s="431"/>
      <c r="EC2" s="431"/>
      <c r="ED2" s="431"/>
      <c r="EE2" s="431"/>
      <c r="EF2" s="431"/>
      <c r="EG2" s="431"/>
      <c r="EH2" s="431"/>
      <c r="EI2" s="431"/>
      <c r="EJ2" s="431"/>
      <c r="EK2" s="431"/>
      <c r="EL2" s="431"/>
      <c r="EM2" s="431"/>
      <c r="EN2" s="431"/>
      <c r="EO2" s="431"/>
      <c r="EP2" s="431"/>
      <c r="EQ2" s="431"/>
      <c r="ER2" s="431"/>
      <c r="ES2" s="431"/>
      <c r="ET2" s="431"/>
      <c r="EU2" s="431"/>
      <c r="EV2" s="431"/>
      <c r="EW2" s="431"/>
      <c r="EX2" s="431"/>
      <c r="EY2" s="431"/>
      <c r="EZ2" s="431"/>
      <c r="FA2" s="431"/>
      <c r="FB2" s="431"/>
      <c r="FC2" s="431"/>
      <c r="FD2" s="431"/>
      <c r="FE2" s="431"/>
      <c r="FF2" s="431"/>
      <c r="FG2" s="431"/>
      <c r="FH2" s="431"/>
      <c r="FI2" s="431"/>
      <c r="FJ2" s="431"/>
      <c r="FK2" s="431"/>
      <c r="FL2" s="431"/>
      <c r="FM2" s="431"/>
      <c r="FN2" s="431"/>
      <c r="FO2" s="431"/>
      <c r="FP2" s="431"/>
      <c r="FQ2" s="431"/>
      <c r="FR2" s="431"/>
      <c r="FS2" s="431"/>
      <c r="FT2" s="431"/>
      <c r="FU2" s="431"/>
      <c r="FV2" s="431"/>
      <c r="FW2" s="431"/>
      <c r="FX2" s="431"/>
      <c r="FY2" s="431"/>
      <c r="FZ2" s="431"/>
      <c r="GA2" s="431"/>
      <c r="GB2" s="431"/>
      <c r="GC2" s="431"/>
      <c r="GD2" s="431"/>
      <c r="GE2" s="431"/>
      <c r="GF2" s="431"/>
      <c r="GG2" s="431"/>
      <c r="GH2" s="431"/>
      <c r="GI2" s="431"/>
      <c r="GJ2" s="431"/>
      <c r="GK2" s="431"/>
      <c r="GL2" s="431"/>
      <c r="GM2" s="431"/>
      <c r="GN2" s="431"/>
      <c r="GO2" s="431"/>
      <c r="GP2" s="431"/>
      <c r="GQ2" s="431"/>
      <c r="GR2" s="431"/>
      <c r="GS2" s="431"/>
      <c r="GT2" s="431"/>
      <c r="GU2" s="431"/>
      <c r="GV2" s="431"/>
      <c r="GW2" s="431"/>
      <c r="GX2" s="431"/>
      <c r="GY2" s="431"/>
      <c r="GZ2" s="431"/>
      <c r="HA2" s="431"/>
      <c r="HB2" s="431"/>
      <c r="HC2" s="431"/>
      <c r="HD2" s="431"/>
      <c r="HE2" s="431"/>
      <c r="HF2" s="431"/>
      <c r="HG2" s="431"/>
      <c r="HH2" s="431"/>
      <c r="HI2" s="431"/>
      <c r="HJ2" s="431"/>
      <c r="HK2" s="431"/>
      <c r="HL2" s="431"/>
      <c r="HM2" s="431"/>
      <c r="HN2" s="431"/>
      <c r="HO2" s="431"/>
      <c r="HP2" s="431"/>
      <c r="HQ2" s="431"/>
      <c r="HR2" s="431"/>
      <c r="HS2" s="431"/>
      <c r="HT2" s="431"/>
      <c r="HU2" s="431"/>
      <c r="HV2" s="431"/>
      <c r="HW2" s="431"/>
      <c r="HX2" s="431"/>
      <c r="HY2" s="431"/>
      <c r="HZ2" s="431"/>
      <c r="IA2" s="431"/>
      <c r="IB2" s="431"/>
      <c r="IC2" s="431"/>
      <c r="ID2" s="431"/>
      <c r="IE2" s="431"/>
      <c r="IF2" s="431"/>
      <c r="IG2" s="431"/>
      <c r="IH2" s="431"/>
      <c r="II2" s="431"/>
      <c r="IJ2" s="431"/>
      <c r="IK2" s="431"/>
      <c r="IL2" s="431"/>
      <c r="IM2" s="431"/>
      <c r="IN2" s="431"/>
      <c r="IO2" s="431"/>
      <c r="IP2" s="431"/>
      <c r="IQ2" s="431"/>
      <c r="IR2" s="431"/>
      <c r="IS2" s="431"/>
      <c r="IT2" s="431"/>
      <c r="IU2" s="431"/>
      <c r="IV2" s="431"/>
      <c r="IW2" s="431"/>
      <c r="IX2" s="431"/>
      <c r="IY2" s="431"/>
      <c r="IZ2" s="431"/>
      <c r="JA2" s="431"/>
      <c r="JB2" s="431"/>
      <c r="JC2" s="431"/>
      <c r="JD2" s="431"/>
      <c r="JE2" s="431"/>
      <c r="JF2" s="431"/>
      <c r="JG2" s="431"/>
      <c r="JH2" s="431"/>
      <c r="JI2" s="431"/>
      <c r="JJ2" s="431"/>
      <c r="JK2" s="431"/>
      <c r="JL2" s="431"/>
      <c r="JM2" s="431"/>
      <c r="JN2" s="431"/>
      <c r="JO2" s="431"/>
      <c r="JP2" s="431"/>
      <c r="JQ2" s="431"/>
      <c r="JR2" s="431"/>
      <c r="JS2" s="431"/>
      <c r="JT2" s="431"/>
      <c r="JU2" s="431"/>
      <c r="JV2" s="431"/>
      <c r="JW2" s="431"/>
      <c r="JX2" s="431"/>
      <c r="JY2" s="431"/>
      <c r="JZ2" s="431"/>
      <c r="KA2" s="431"/>
      <c r="KB2" s="431"/>
      <c r="KC2" s="431"/>
      <c r="KD2" s="431"/>
      <c r="KE2" s="431"/>
      <c r="KF2" s="431"/>
      <c r="KG2" s="431"/>
      <c r="KH2" s="431"/>
      <c r="KI2" s="431"/>
      <c r="KJ2" s="431"/>
      <c r="KK2" s="431"/>
      <c r="KL2" s="431"/>
      <c r="KM2" s="431"/>
      <c r="KN2" s="431"/>
      <c r="KO2" s="431"/>
      <c r="KP2" s="431"/>
      <c r="KQ2" s="431"/>
      <c r="KR2" s="431"/>
      <c r="KS2" s="431"/>
      <c r="KT2" s="431"/>
      <c r="KU2" s="431"/>
      <c r="KV2" s="431"/>
      <c r="KW2" s="431"/>
      <c r="KX2" s="431"/>
      <c r="KY2" s="431"/>
      <c r="KZ2" s="431"/>
      <c r="LA2" s="431"/>
      <c r="LB2" s="431"/>
      <c r="LC2" s="431"/>
      <c r="LD2" s="431"/>
      <c r="LE2" s="431"/>
      <c r="LF2" s="431"/>
      <c r="LG2" s="431"/>
      <c r="LH2" s="431"/>
      <c r="LI2" s="431"/>
      <c r="LJ2" s="431"/>
      <c r="LK2" s="431"/>
      <c r="LL2" s="431"/>
      <c r="LM2" s="431"/>
      <c r="LN2" s="431"/>
      <c r="LO2" s="431"/>
      <c r="LP2" s="431"/>
      <c r="LQ2" s="431"/>
      <c r="LR2" s="431"/>
      <c r="LS2" s="431"/>
      <c r="LT2" s="431"/>
      <c r="LU2" s="431"/>
      <c r="LV2" s="431"/>
      <c r="LW2" s="431"/>
      <c r="LX2" s="431"/>
      <c r="LY2" s="431"/>
      <c r="LZ2" s="431"/>
      <c r="MA2" s="431"/>
      <c r="MB2" s="431"/>
      <c r="MC2" s="431"/>
      <c r="MD2" s="431"/>
      <c r="ME2" s="431"/>
      <c r="MF2" s="431"/>
      <c r="MG2" s="431"/>
      <c r="MH2" s="431"/>
      <c r="MI2" s="431"/>
      <c r="MJ2" s="431"/>
      <c r="MK2" s="431"/>
      <c r="ML2" s="431"/>
      <c r="MM2" s="431"/>
      <c r="MN2" s="431"/>
      <c r="MO2" s="431"/>
      <c r="MP2" s="431"/>
      <c r="MQ2" s="431"/>
      <c r="MR2" s="431"/>
      <c r="MS2" s="431"/>
      <c r="MT2" s="431"/>
      <c r="MU2" s="431"/>
      <c r="MV2" s="431"/>
      <c r="MW2" s="431"/>
      <c r="MX2" s="431"/>
      <c r="MY2" s="431"/>
      <c r="MZ2" s="431"/>
      <c r="NA2" s="431"/>
      <c r="NB2" s="431"/>
      <c r="NC2" s="431"/>
      <c r="ND2" s="431"/>
      <c r="NE2" s="431"/>
      <c r="NF2" s="431"/>
      <c r="NG2" s="431"/>
      <c r="NH2" s="431"/>
      <c r="NI2" s="431"/>
      <c r="NJ2" s="431"/>
      <c r="NK2" s="431"/>
      <c r="NL2" s="431"/>
      <c r="NM2" s="431"/>
      <c r="NN2" s="431"/>
      <c r="NO2" s="431"/>
      <c r="NP2" s="431"/>
      <c r="NQ2" s="431"/>
      <c r="NR2" s="431"/>
      <c r="NS2" s="431"/>
      <c r="NT2" s="431"/>
      <c r="NU2" s="431"/>
      <c r="NV2" s="431"/>
      <c r="NW2" s="431"/>
      <c r="NX2" s="431"/>
      <c r="NY2" s="431"/>
      <c r="NZ2" s="431"/>
      <c r="OA2" s="431"/>
      <c r="OB2" s="431"/>
      <c r="OC2" s="431"/>
      <c r="OD2" s="431"/>
      <c r="OE2" s="431"/>
      <c r="OF2" s="431"/>
      <c r="OG2" s="431"/>
      <c r="OH2" s="431"/>
      <c r="OI2" s="431"/>
      <c r="OJ2" s="431"/>
      <c r="OK2" s="431"/>
      <c r="OL2" s="431"/>
      <c r="OM2" s="431"/>
      <c r="ON2" s="431"/>
      <c r="OO2" s="431"/>
      <c r="OP2" s="431"/>
      <c r="OQ2" s="431"/>
      <c r="OR2" s="431"/>
      <c r="OS2" s="431"/>
      <c r="OT2" s="431"/>
      <c r="OU2" s="431"/>
      <c r="OV2" s="431"/>
      <c r="OW2" s="431"/>
      <c r="OX2" s="431"/>
      <c r="OY2" s="431"/>
      <c r="OZ2" s="431"/>
      <c r="PA2" s="431"/>
      <c r="PB2" s="431"/>
      <c r="PC2" s="431"/>
      <c r="PD2" s="431"/>
      <c r="PE2" s="431"/>
      <c r="PF2" s="431"/>
      <c r="PG2" s="431"/>
      <c r="PH2" s="431"/>
      <c r="PI2" s="431"/>
      <c r="PJ2" s="431"/>
      <c r="PK2" s="431"/>
      <c r="PL2" s="431"/>
      <c r="PM2" s="431"/>
      <c r="PN2" s="431"/>
      <c r="PO2" s="431"/>
      <c r="PP2" s="431"/>
      <c r="PQ2" s="431"/>
      <c r="PR2" s="431"/>
      <c r="PS2" s="431"/>
      <c r="PT2" s="431"/>
      <c r="PU2" s="431"/>
      <c r="PV2" s="431"/>
      <c r="PW2" s="431"/>
      <c r="PX2" s="431"/>
      <c r="PY2" s="431"/>
      <c r="PZ2" s="431"/>
      <c r="QA2" s="431"/>
      <c r="QB2" s="431"/>
      <c r="QC2" s="431"/>
      <c r="QD2" s="431"/>
      <c r="QE2" s="431"/>
      <c r="QF2" s="431"/>
      <c r="QG2" s="431"/>
      <c r="QH2" s="431"/>
      <c r="QI2" s="431"/>
      <c r="QJ2" s="431"/>
      <c r="QK2" s="431"/>
      <c r="QL2" s="431"/>
      <c r="QM2" s="431"/>
      <c r="QN2" s="431"/>
      <c r="QO2" s="431"/>
      <c r="QP2" s="431"/>
      <c r="QQ2" s="431"/>
      <c r="QR2" s="431"/>
      <c r="QS2" s="431"/>
      <c r="QT2" s="431"/>
      <c r="QU2" s="431"/>
      <c r="QV2" s="431"/>
      <c r="QW2" s="431"/>
      <c r="QX2" s="431"/>
      <c r="QY2" s="431"/>
      <c r="QZ2" s="431"/>
      <c r="RA2" s="431"/>
      <c r="RB2" s="431"/>
      <c r="RC2" s="431"/>
      <c r="RD2" s="431"/>
      <c r="RE2" s="431"/>
      <c r="RF2" s="431"/>
      <c r="RG2" s="431"/>
      <c r="RH2" s="431"/>
      <c r="RI2" s="431"/>
      <c r="RJ2" s="431"/>
      <c r="RK2" s="431"/>
      <c r="RL2" s="431"/>
      <c r="RM2" s="431"/>
      <c r="RN2" s="431"/>
      <c r="RO2" s="431"/>
      <c r="RP2" s="431"/>
      <c r="RQ2" s="431"/>
      <c r="RR2" s="431"/>
      <c r="RS2" s="431"/>
      <c r="RT2" s="431"/>
      <c r="RU2" s="431"/>
      <c r="RV2" s="431"/>
      <c r="RW2" s="431"/>
      <c r="RX2" s="431"/>
      <c r="RY2" s="431"/>
      <c r="RZ2" s="431"/>
      <c r="SA2" s="431"/>
      <c r="SB2" s="431"/>
      <c r="SC2" s="431"/>
      <c r="SD2" s="431"/>
      <c r="SE2" s="431"/>
      <c r="SF2" s="431"/>
      <c r="SG2" s="431"/>
      <c r="SH2" s="431"/>
      <c r="SI2" s="431"/>
      <c r="SJ2" s="431"/>
      <c r="SK2" s="431"/>
      <c r="SL2" s="431"/>
      <c r="SM2" s="431"/>
      <c r="SN2" s="431"/>
      <c r="SO2" s="431"/>
      <c r="SP2" s="431"/>
      <c r="SQ2" s="431"/>
      <c r="SR2" s="431"/>
      <c r="SS2" s="431"/>
      <c r="ST2" s="431"/>
      <c r="SU2" s="431"/>
      <c r="SV2" s="431"/>
      <c r="SW2" s="431"/>
      <c r="SX2" s="431"/>
      <c r="SY2" s="431"/>
      <c r="SZ2" s="431"/>
      <c r="TA2" s="431"/>
      <c r="TB2" s="431"/>
      <c r="TC2" s="431"/>
      <c r="TD2" s="431"/>
      <c r="TE2" s="431"/>
      <c r="TF2" s="431"/>
      <c r="TG2" s="431"/>
      <c r="TH2" s="431"/>
      <c r="TI2" s="431"/>
      <c r="TJ2" s="431"/>
      <c r="TK2" s="431"/>
      <c r="TL2" s="431"/>
      <c r="TM2" s="431"/>
      <c r="TN2" s="431"/>
      <c r="TO2" s="431"/>
      <c r="TP2" s="431"/>
      <c r="TQ2" s="431"/>
      <c r="TR2" s="431"/>
      <c r="TS2" s="431"/>
      <c r="TT2" s="431"/>
      <c r="TU2" s="431"/>
      <c r="TV2" s="431"/>
      <c r="TW2" s="431"/>
      <c r="TX2" s="431"/>
      <c r="TY2" s="431"/>
      <c r="TZ2" s="431"/>
      <c r="UA2" s="431"/>
      <c r="UB2" s="431"/>
      <c r="UC2" s="431"/>
      <c r="UD2" s="431"/>
      <c r="UE2" s="431"/>
      <c r="UF2" s="431"/>
      <c r="UG2" s="431"/>
      <c r="UH2" s="431"/>
      <c r="UI2" s="431"/>
      <c r="UJ2" s="431"/>
      <c r="UK2" s="431"/>
      <c r="UL2" s="431"/>
      <c r="UM2" s="431"/>
      <c r="UN2" s="431"/>
      <c r="UO2" s="431"/>
      <c r="UP2" s="431"/>
      <c r="UQ2" s="431"/>
      <c r="UR2" s="431"/>
      <c r="US2" s="431"/>
      <c r="UT2" s="431"/>
      <c r="UU2" s="431"/>
      <c r="UV2" s="431"/>
      <c r="UW2" s="431"/>
      <c r="UX2" s="431"/>
      <c r="UY2" s="431"/>
      <c r="UZ2" s="431"/>
      <c r="VA2" s="431"/>
      <c r="VB2" s="431"/>
      <c r="VC2" s="431"/>
      <c r="VD2" s="431"/>
      <c r="VE2" s="431"/>
      <c r="VF2" s="431"/>
      <c r="VG2" s="431"/>
      <c r="VH2" s="431"/>
      <c r="VI2" s="431"/>
      <c r="VJ2" s="431"/>
      <c r="VK2" s="431"/>
      <c r="VL2" s="431"/>
      <c r="VM2" s="431"/>
      <c r="VN2" s="431"/>
      <c r="VO2" s="431"/>
      <c r="VP2" s="431"/>
      <c r="VQ2" s="431"/>
      <c r="VR2" s="431"/>
      <c r="VS2" s="431"/>
      <c r="VT2" s="431"/>
      <c r="VU2" s="431"/>
      <c r="VV2" s="431"/>
      <c r="VW2" s="431"/>
      <c r="VX2" s="431"/>
      <c r="VY2" s="431"/>
      <c r="VZ2" s="431"/>
      <c r="WA2" s="431"/>
      <c r="WB2" s="431"/>
      <c r="WC2" s="431"/>
      <c r="WD2" s="431"/>
      <c r="WE2" s="431"/>
      <c r="WF2" s="431"/>
      <c r="WG2" s="431"/>
      <c r="WH2" s="431"/>
      <c r="WI2" s="431"/>
      <c r="WJ2" s="431"/>
      <c r="WK2" s="431"/>
      <c r="WL2" s="431"/>
      <c r="WM2" s="431"/>
      <c r="WN2" s="431"/>
      <c r="WO2" s="431"/>
      <c r="WP2" s="431"/>
      <c r="WQ2" s="431"/>
      <c r="WR2" s="431"/>
      <c r="WS2" s="431"/>
      <c r="WT2" s="431"/>
      <c r="WU2" s="431"/>
      <c r="WV2" s="431"/>
      <c r="WW2" s="431"/>
      <c r="WX2" s="431"/>
      <c r="WY2" s="431"/>
      <c r="WZ2" s="431"/>
      <c r="XA2" s="431"/>
      <c r="XB2" s="431"/>
      <c r="XC2" s="431"/>
      <c r="XD2" s="431"/>
      <c r="XE2" s="431"/>
      <c r="XF2" s="431"/>
      <c r="XG2" s="431"/>
      <c r="XH2" s="431"/>
      <c r="XI2" s="431"/>
      <c r="XJ2" s="431"/>
      <c r="XK2" s="431"/>
      <c r="XL2" s="431"/>
      <c r="XM2" s="431"/>
      <c r="XN2" s="431"/>
      <c r="XO2" s="431"/>
      <c r="XP2" s="431"/>
      <c r="XQ2" s="431"/>
      <c r="XR2" s="431"/>
      <c r="XS2" s="431"/>
      <c r="XT2" s="431"/>
      <c r="XU2" s="431"/>
      <c r="XV2" s="431"/>
      <c r="XW2" s="431"/>
      <c r="XX2" s="431"/>
      <c r="XY2" s="431"/>
      <c r="XZ2" s="431"/>
      <c r="YA2" s="431"/>
      <c r="YB2" s="431"/>
      <c r="YC2" s="431"/>
      <c r="YD2" s="431"/>
      <c r="YE2" s="431"/>
      <c r="YF2" s="431"/>
      <c r="YG2" s="431"/>
      <c r="YH2" s="431"/>
      <c r="YI2" s="431"/>
      <c r="YJ2" s="431"/>
      <c r="YK2" s="431"/>
      <c r="YL2" s="431"/>
      <c r="YM2" s="431"/>
      <c r="YN2" s="431"/>
      <c r="YO2" s="431"/>
      <c r="YP2" s="431"/>
      <c r="YQ2" s="431"/>
      <c r="YR2" s="431"/>
      <c r="YS2" s="431"/>
      <c r="YT2" s="431"/>
      <c r="YU2" s="431"/>
      <c r="YV2" s="431"/>
      <c r="YW2" s="431"/>
      <c r="YX2" s="431"/>
      <c r="YY2" s="431"/>
      <c r="YZ2" s="431"/>
      <c r="ZA2" s="431"/>
      <c r="ZB2" s="431"/>
      <c r="ZC2" s="431"/>
      <c r="ZD2" s="431"/>
      <c r="ZE2" s="431"/>
      <c r="ZF2" s="431"/>
      <c r="ZG2" s="431"/>
      <c r="ZH2" s="431"/>
      <c r="ZI2" s="431"/>
      <c r="ZJ2" s="431"/>
      <c r="ZK2" s="431"/>
      <c r="ZL2" s="431"/>
      <c r="ZM2" s="431"/>
      <c r="ZN2" s="431"/>
      <c r="ZO2" s="431"/>
      <c r="ZP2" s="431"/>
      <c r="ZQ2" s="431"/>
      <c r="ZR2" s="431"/>
      <c r="ZS2" s="431"/>
      <c r="ZT2" s="431"/>
      <c r="ZU2" s="431"/>
      <c r="ZV2" s="431"/>
      <c r="ZW2" s="431"/>
      <c r="ZX2" s="431"/>
      <c r="ZY2" s="431"/>
      <c r="ZZ2" s="431"/>
      <c r="AAA2" s="431"/>
      <c r="AAB2" s="431"/>
      <c r="AAC2" s="431"/>
      <c r="AAD2" s="431"/>
      <c r="AAE2" s="431"/>
      <c r="AAF2" s="431"/>
      <c r="AAG2" s="431"/>
      <c r="AAH2" s="431"/>
      <c r="AAI2" s="431"/>
      <c r="AAJ2" s="431"/>
      <c r="AAK2" s="431"/>
      <c r="AAL2" s="431"/>
      <c r="AAM2" s="431"/>
      <c r="AAN2" s="431"/>
      <c r="AAO2" s="431"/>
      <c r="AAP2" s="431"/>
      <c r="AAQ2" s="431"/>
      <c r="AAR2" s="431"/>
      <c r="AAS2" s="431"/>
      <c r="AAT2" s="431"/>
      <c r="AAU2" s="431"/>
      <c r="AAV2" s="431"/>
      <c r="AAW2" s="431"/>
      <c r="AAX2" s="431"/>
      <c r="AAY2" s="431"/>
      <c r="AAZ2" s="431"/>
      <c r="ABA2" s="431"/>
      <c r="ABB2" s="431"/>
      <c r="ABC2" s="431"/>
      <c r="ABD2" s="431"/>
      <c r="ABE2" s="431"/>
      <c r="ABF2" s="431"/>
      <c r="ABG2" s="431"/>
      <c r="ABH2" s="431"/>
      <c r="ABI2" s="431"/>
      <c r="ABJ2" s="431"/>
      <c r="ABK2" s="431"/>
      <c r="ABL2" s="431"/>
      <c r="ABM2" s="431"/>
      <c r="ABN2" s="431"/>
      <c r="ABO2" s="431"/>
      <c r="ABP2" s="431"/>
      <c r="ABQ2" s="431"/>
      <c r="ABR2" s="431"/>
      <c r="ABS2" s="431"/>
      <c r="ABT2" s="431"/>
      <c r="ABU2" s="431"/>
      <c r="ABV2" s="431"/>
      <c r="ABW2" s="431"/>
      <c r="ABX2" s="431"/>
      <c r="ABY2" s="431"/>
      <c r="ABZ2" s="431"/>
      <c r="ACA2" s="431"/>
      <c r="ACB2" s="431"/>
      <c r="ACC2" s="431"/>
      <c r="ACD2" s="431"/>
      <c r="ACE2" s="431"/>
      <c r="ACF2" s="431"/>
      <c r="ACG2" s="431"/>
      <c r="ACH2" s="431"/>
      <c r="ACI2" s="431"/>
      <c r="ACJ2" s="431"/>
      <c r="ACK2" s="431"/>
      <c r="ACL2" s="431"/>
      <c r="ACM2" s="431"/>
      <c r="ACN2" s="431"/>
      <c r="ACO2" s="431"/>
      <c r="ACP2" s="431"/>
      <c r="ACQ2" s="431"/>
      <c r="ACR2" s="431"/>
      <c r="ACS2" s="431"/>
      <c r="ACT2" s="431"/>
      <c r="ACU2" s="431"/>
      <c r="ACV2" s="431"/>
      <c r="ACW2" s="431"/>
      <c r="ACX2" s="431"/>
      <c r="ACY2" s="431"/>
      <c r="ACZ2" s="431"/>
      <c r="ADA2" s="431"/>
      <c r="ADB2" s="431"/>
      <c r="ADC2" s="431"/>
      <c r="ADD2" s="431"/>
      <c r="ADE2" s="431"/>
      <c r="ADF2" s="431"/>
      <c r="ADG2" s="431"/>
      <c r="ADH2" s="431"/>
      <c r="ADI2" s="431"/>
      <c r="ADJ2" s="431"/>
      <c r="ADK2" s="431"/>
      <c r="ADL2" s="431"/>
      <c r="ADM2" s="431"/>
      <c r="ADN2" s="431"/>
      <c r="ADO2" s="431"/>
      <c r="ADP2" s="431"/>
      <c r="ADQ2" s="431"/>
      <c r="ADR2" s="431"/>
      <c r="ADS2" s="431"/>
      <c r="ADT2" s="431"/>
      <c r="ADU2" s="431"/>
      <c r="ADV2" s="431"/>
      <c r="ADW2" s="431"/>
      <c r="ADX2" s="431"/>
      <c r="ADY2" s="431"/>
      <c r="ADZ2" s="431"/>
      <c r="AEA2" s="431"/>
      <c r="AEB2" s="431"/>
      <c r="AEC2" s="431"/>
      <c r="AED2" s="431"/>
      <c r="AEE2" s="431"/>
      <c r="AEF2" s="431"/>
      <c r="AEG2" s="431"/>
      <c r="AEH2" s="431"/>
      <c r="AEI2" s="431"/>
      <c r="AEJ2" s="431"/>
      <c r="AEK2" s="431"/>
      <c r="AEL2" s="431"/>
      <c r="AEM2" s="431"/>
      <c r="AEN2" s="431"/>
      <c r="AEO2" s="431"/>
      <c r="AEP2" s="431"/>
      <c r="AEQ2" s="431"/>
      <c r="AER2" s="431"/>
      <c r="AES2" s="431"/>
      <c r="AET2" s="431"/>
      <c r="AEU2" s="431"/>
      <c r="AEV2" s="431"/>
      <c r="AEW2" s="431"/>
      <c r="AEX2" s="431"/>
      <c r="AEY2" s="431"/>
      <c r="AEZ2" s="431"/>
      <c r="AFA2" s="431"/>
      <c r="AFB2" s="431"/>
      <c r="AFC2" s="431"/>
      <c r="AFD2" s="431"/>
      <c r="AFE2" s="431"/>
      <c r="AFF2" s="431"/>
      <c r="AFG2" s="431"/>
      <c r="AFH2" s="431"/>
      <c r="AFI2" s="431"/>
      <c r="AFJ2" s="431"/>
      <c r="AFK2" s="431"/>
      <c r="AFL2" s="431"/>
      <c r="AFM2" s="431"/>
      <c r="AFN2" s="431"/>
      <c r="AFO2" s="431"/>
      <c r="AFP2" s="431"/>
      <c r="AFQ2" s="431"/>
      <c r="AFR2" s="431"/>
      <c r="AFS2" s="431"/>
      <c r="AFT2" s="431"/>
      <c r="AFU2" s="431"/>
      <c r="AFV2" s="431"/>
      <c r="AFW2" s="431"/>
      <c r="AFX2" s="431"/>
      <c r="AFY2" s="431"/>
      <c r="AFZ2" s="431"/>
      <c r="AGA2" s="431"/>
      <c r="AGB2" s="431"/>
      <c r="AGC2" s="431"/>
      <c r="AGD2" s="431"/>
      <c r="AGE2" s="431"/>
      <c r="AGF2" s="431"/>
      <c r="AGG2" s="431"/>
      <c r="AGH2" s="431"/>
      <c r="AGI2" s="431"/>
      <c r="AGJ2" s="431"/>
      <c r="AGK2" s="431"/>
      <c r="AGL2" s="431"/>
      <c r="AGM2" s="431"/>
      <c r="AGN2" s="431"/>
      <c r="AGO2" s="431"/>
      <c r="AGP2" s="431"/>
      <c r="AGQ2" s="431"/>
      <c r="AGR2" s="431"/>
      <c r="AGS2" s="431"/>
      <c r="AGT2" s="431"/>
      <c r="AGU2" s="431"/>
      <c r="AGV2" s="431"/>
      <c r="AGW2" s="431"/>
      <c r="AGX2" s="431"/>
      <c r="AGY2" s="431"/>
      <c r="AGZ2" s="431"/>
      <c r="AHA2" s="431"/>
      <c r="AHB2" s="431"/>
      <c r="AHC2" s="431"/>
      <c r="AHD2" s="431"/>
      <c r="AHE2" s="431"/>
      <c r="AHF2" s="431"/>
      <c r="AHG2" s="431"/>
      <c r="AHH2" s="431"/>
      <c r="AHI2" s="431"/>
      <c r="AHJ2" s="431"/>
      <c r="AHK2" s="431"/>
      <c r="AHL2" s="431"/>
      <c r="AHM2" s="431"/>
      <c r="AHN2" s="431"/>
      <c r="AHO2" s="431"/>
      <c r="AHP2" s="431"/>
      <c r="AHQ2" s="431"/>
      <c r="AHR2" s="431"/>
      <c r="AHS2" s="431"/>
      <c r="AHT2" s="431"/>
      <c r="AHU2" s="431"/>
      <c r="AHV2" s="431"/>
      <c r="AHW2" s="431"/>
      <c r="AHX2" s="431"/>
      <c r="AHY2" s="431"/>
      <c r="AHZ2" s="431"/>
      <c r="AIA2" s="431"/>
      <c r="AIB2" s="431"/>
      <c r="AIC2" s="431"/>
      <c r="AID2" s="431"/>
      <c r="AIE2" s="431"/>
      <c r="AIF2" s="431"/>
      <c r="AIG2" s="431"/>
      <c r="AIH2" s="431"/>
      <c r="AII2" s="431"/>
      <c r="AIJ2" s="431"/>
      <c r="AIK2" s="431"/>
      <c r="AIL2" s="431"/>
      <c r="AIM2" s="431"/>
      <c r="AIN2" s="431"/>
      <c r="AIO2" s="431"/>
      <c r="AIP2" s="431"/>
      <c r="AIQ2" s="431"/>
      <c r="AIR2" s="431"/>
      <c r="AIS2" s="431"/>
      <c r="AIT2" s="431"/>
      <c r="AIU2" s="431"/>
      <c r="AIV2" s="431"/>
      <c r="AIW2" s="431"/>
      <c r="AIX2" s="431"/>
      <c r="AIY2" s="431"/>
      <c r="AIZ2" s="431"/>
      <c r="AJA2" s="431"/>
      <c r="AJB2" s="431"/>
      <c r="AJC2" s="431"/>
      <c r="AJD2" s="431"/>
      <c r="AJE2" s="431"/>
      <c r="AJF2" s="431"/>
      <c r="AJG2" s="431"/>
      <c r="AJH2" s="431"/>
      <c r="AJI2" s="431"/>
      <c r="AJJ2" s="431"/>
      <c r="AJK2" s="431"/>
      <c r="AJL2" s="431"/>
      <c r="AJM2" s="431"/>
      <c r="AJN2" s="431"/>
      <c r="AJO2" s="431"/>
      <c r="AJP2" s="431"/>
      <c r="AJQ2" s="431"/>
      <c r="AJR2" s="431"/>
      <c r="AJS2" s="431"/>
      <c r="AJT2" s="431"/>
      <c r="AJU2" s="431"/>
      <c r="AJV2" s="431"/>
      <c r="AJW2" s="431"/>
      <c r="AJX2" s="431"/>
      <c r="AJY2" s="431"/>
      <c r="AJZ2" s="431"/>
      <c r="AKA2" s="431"/>
      <c r="AKB2" s="431"/>
      <c r="AKC2" s="431"/>
      <c r="AKD2" s="431"/>
      <c r="AKE2" s="431"/>
      <c r="AKF2" s="431"/>
      <c r="AKG2" s="431"/>
      <c r="AKH2" s="431"/>
      <c r="AKI2" s="431"/>
      <c r="AKJ2" s="431"/>
      <c r="AKK2" s="431"/>
      <c r="AKL2" s="431"/>
      <c r="AKM2" s="431"/>
      <c r="AKN2" s="431"/>
      <c r="AKO2" s="431"/>
      <c r="AKP2" s="431"/>
      <c r="AKQ2" s="431"/>
      <c r="AKR2" s="431"/>
      <c r="AKS2" s="431"/>
      <c r="AKT2" s="431"/>
      <c r="AKU2" s="431"/>
      <c r="AKV2" s="431"/>
      <c r="AKW2" s="431"/>
      <c r="AKX2" s="431"/>
      <c r="AKY2" s="431"/>
      <c r="AKZ2" s="431"/>
      <c r="ALA2" s="431"/>
      <c r="ALB2" s="431"/>
      <c r="ALC2" s="431"/>
      <c r="ALD2" s="431"/>
      <c r="ALE2" s="431"/>
      <c r="ALF2" s="431"/>
      <c r="ALG2" s="431"/>
      <c r="ALH2" s="431"/>
      <c r="ALI2" s="431"/>
      <c r="ALJ2" s="431"/>
      <c r="ALK2" s="431"/>
      <c r="ALL2" s="431"/>
      <c r="ALM2" s="431"/>
      <c r="ALN2" s="431"/>
      <c r="ALO2" s="431"/>
      <c r="ALP2" s="431"/>
    </row>
    <row r="3" spans="1:1004" s="483" customFormat="1" ht="69.75" customHeight="1" x14ac:dyDescent="0.25">
      <c r="A3" s="560"/>
      <c r="B3" s="561"/>
      <c r="C3" s="561"/>
      <c r="D3" s="561"/>
      <c r="E3" s="561"/>
      <c r="F3" s="562"/>
      <c r="G3" s="489" t="s">
        <v>115</v>
      </c>
      <c r="H3" s="489" t="s">
        <v>116</v>
      </c>
      <c r="I3" s="489" t="s">
        <v>117</v>
      </c>
      <c r="J3" s="489" t="s">
        <v>118</v>
      </c>
      <c r="K3" s="489" t="s">
        <v>119</v>
      </c>
      <c r="L3" s="481"/>
      <c r="M3" s="482"/>
      <c r="N3" s="482"/>
      <c r="O3" s="482"/>
      <c r="P3" s="482"/>
      <c r="Q3" s="482"/>
      <c r="R3" s="482"/>
      <c r="S3" s="482"/>
      <c r="T3" s="482"/>
      <c r="U3" s="482"/>
      <c r="V3" s="482"/>
      <c r="W3" s="482"/>
      <c r="X3" s="482"/>
      <c r="Y3" s="482"/>
      <c r="Z3" s="482"/>
      <c r="AA3" s="482"/>
      <c r="AB3" s="482"/>
      <c r="AC3" s="482"/>
      <c r="AD3" s="482"/>
      <c r="AE3" s="482"/>
      <c r="AF3" s="482"/>
      <c r="AG3" s="482"/>
      <c r="AH3" s="482"/>
      <c r="AI3" s="482"/>
      <c r="AJ3" s="482"/>
      <c r="AK3" s="482"/>
      <c r="AL3" s="482"/>
      <c r="AM3" s="482"/>
      <c r="AN3" s="482"/>
      <c r="AO3" s="482"/>
      <c r="AP3" s="482"/>
      <c r="AQ3" s="482"/>
      <c r="AR3" s="482"/>
      <c r="AS3" s="482"/>
      <c r="AT3" s="482"/>
      <c r="AU3" s="482"/>
      <c r="AV3" s="482"/>
      <c r="AW3" s="482"/>
      <c r="AX3" s="482"/>
      <c r="AY3" s="482"/>
      <c r="AZ3" s="482"/>
      <c r="BA3" s="482"/>
      <c r="BB3" s="482"/>
      <c r="BC3" s="482"/>
      <c r="BD3" s="482"/>
      <c r="BE3" s="482"/>
      <c r="BF3" s="482"/>
      <c r="BG3" s="482"/>
      <c r="BH3" s="482"/>
      <c r="BI3" s="482"/>
      <c r="BJ3" s="482"/>
      <c r="BK3" s="482"/>
      <c r="BL3" s="482"/>
      <c r="BM3" s="482"/>
      <c r="BN3" s="482"/>
      <c r="BO3" s="482"/>
      <c r="BP3" s="482"/>
      <c r="BQ3" s="482"/>
      <c r="BR3" s="482"/>
      <c r="BS3" s="482"/>
      <c r="BT3" s="482"/>
      <c r="BU3" s="482"/>
      <c r="BV3" s="482"/>
      <c r="BW3" s="482"/>
      <c r="BX3" s="482"/>
      <c r="BY3" s="482"/>
      <c r="BZ3" s="482"/>
      <c r="CA3" s="482"/>
      <c r="CB3" s="482"/>
      <c r="CC3" s="482"/>
      <c r="CD3" s="482"/>
      <c r="CE3" s="482"/>
      <c r="CF3" s="482"/>
      <c r="CG3" s="482"/>
      <c r="CH3" s="482"/>
      <c r="CI3" s="482"/>
      <c r="CJ3" s="482"/>
      <c r="CK3" s="482"/>
      <c r="CL3" s="482"/>
      <c r="CM3" s="482"/>
      <c r="CN3" s="482"/>
      <c r="CO3" s="482"/>
      <c r="CP3" s="482"/>
      <c r="CQ3" s="482"/>
      <c r="CR3" s="482"/>
      <c r="CS3" s="482"/>
      <c r="CT3" s="482"/>
      <c r="CU3" s="482"/>
      <c r="CV3" s="482"/>
      <c r="CW3" s="482"/>
      <c r="CX3" s="482"/>
      <c r="CY3" s="482"/>
      <c r="CZ3" s="482"/>
      <c r="DA3" s="482"/>
      <c r="DB3" s="482"/>
      <c r="DC3" s="482"/>
      <c r="DD3" s="482"/>
      <c r="DE3" s="482"/>
      <c r="DF3" s="482"/>
      <c r="DG3" s="482"/>
      <c r="DH3" s="482"/>
      <c r="DI3" s="482"/>
      <c r="DJ3" s="482"/>
      <c r="DK3" s="482"/>
      <c r="DL3" s="482"/>
      <c r="DM3" s="482"/>
      <c r="DN3" s="482"/>
      <c r="DO3" s="482"/>
      <c r="DP3" s="482"/>
      <c r="DQ3" s="482"/>
      <c r="DR3" s="482"/>
      <c r="DS3" s="482"/>
      <c r="DT3" s="482"/>
      <c r="DU3" s="482"/>
      <c r="DV3" s="482"/>
      <c r="DW3" s="482"/>
      <c r="DX3" s="482"/>
      <c r="DY3" s="482"/>
      <c r="DZ3" s="482"/>
      <c r="EA3" s="482"/>
      <c r="EB3" s="482"/>
      <c r="EC3" s="482"/>
      <c r="ED3" s="482"/>
      <c r="EE3" s="482"/>
      <c r="EF3" s="482"/>
      <c r="EG3" s="482"/>
      <c r="EH3" s="482"/>
      <c r="EI3" s="482"/>
      <c r="EJ3" s="482"/>
      <c r="EK3" s="482"/>
      <c r="EL3" s="482"/>
      <c r="EM3" s="482"/>
      <c r="EN3" s="482"/>
      <c r="EO3" s="482"/>
      <c r="EP3" s="482"/>
      <c r="EQ3" s="482"/>
      <c r="ER3" s="482"/>
      <c r="ES3" s="482"/>
      <c r="ET3" s="482"/>
      <c r="EU3" s="482"/>
      <c r="EV3" s="482"/>
      <c r="EW3" s="482"/>
      <c r="EX3" s="482"/>
      <c r="EY3" s="482"/>
      <c r="EZ3" s="482"/>
      <c r="FA3" s="482"/>
      <c r="FB3" s="482"/>
      <c r="FC3" s="482"/>
      <c r="FD3" s="482"/>
      <c r="FE3" s="482"/>
      <c r="FF3" s="482"/>
      <c r="FG3" s="482"/>
      <c r="FH3" s="482"/>
      <c r="FI3" s="482"/>
      <c r="FJ3" s="482"/>
      <c r="FK3" s="482"/>
      <c r="FL3" s="482"/>
      <c r="FM3" s="482"/>
      <c r="FN3" s="482"/>
      <c r="FO3" s="482"/>
      <c r="FP3" s="482"/>
      <c r="FQ3" s="482"/>
      <c r="FR3" s="482"/>
      <c r="FS3" s="482"/>
      <c r="FT3" s="482"/>
      <c r="FU3" s="482"/>
      <c r="FV3" s="482"/>
      <c r="FW3" s="482"/>
      <c r="FX3" s="482"/>
      <c r="FY3" s="482"/>
      <c r="FZ3" s="482"/>
      <c r="GA3" s="482"/>
      <c r="GB3" s="482"/>
      <c r="GC3" s="482"/>
      <c r="GD3" s="482"/>
      <c r="GE3" s="482"/>
      <c r="GF3" s="482"/>
      <c r="GG3" s="482"/>
      <c r="GH3" s="482"/>
      <c r="GI3" s="482"/>
      <c r="GJ3" s="482"/>
      <c r="GK3" s="482"/>
      <c r="GL3" s="482"/>
      <c r="GM3" s="482"/>
      <c r="GN3" s="482"/>
      <c r="GO3" s="482"/>
      <c r="GP3" s="482"/>
      <c r="GQ3" s="482"/>
      <c r="GR3" s="482"/>
      <c r="GS3" s="482"/>
      <c r="GT3" s="482"/>
      <c r="GU3" s="482"/>
      <c r="GV3" s="482"/>
      <c r="GW3" s="482"/>
      <c r="GX3" s="482"/>
      <c r="GY3" s="482"/>
      <c r="GZ3" s="482"/>
      <c r="HA3" s="482"/>
      <c r="HB3" s="482"/>
      <c r="HC3" s="482"/>
      <c r="HD3" s="482"/>
      <c r="HE3" s="482"/>
      <c r="HF3" s="482"/>
      <c r="HG3" s="482"/>
      <c r="HH3" s="482"/>
      <c r="HI3" s="482"/>
      <c r="HJ3" s="482"/>
      <c r="HK3" s="482"/>
      <c r="HL3" s="482"/>
      <c r="HM3" s="482"/>
      <c r="HN3" s="482"/>
      <c r="HO3" s="482"/>
      <c r="HP3" s="482"/>
      <c r="HQ3" s="482"/>
      <c r="HR3" s="482"/>
      <c r="HS3" s="482"/>
      <c r="HT3" s="482"/>
      <c r="HU3" s="482"/>
      <c r="HV3" s="482"/>
      <c r="HW3" s="482"/>
      <c r="HX3" s="482"/>
      <c r="HY3" s="482"/>
      <c r="HZ3" s="482"/>
      <c r="IA3" s="482"/>
      <c r="IB3" s="482"/>
      <c r="IC3" s="482"/>
      <c r="ID3" s="482"/>
      <c r="IE3" s="482"/>
      <c r="IF3" s="482"/>
      <c r="IG3" s="482"/>
      <c r="IH3" s="482"/>
      <c r="II3" s="482"/>
      <c r="IJ3" s="482"/>
      <c r="IK3" s="482"/>
      <c r="IL3" s="482"/>
      <c r="IM3" s="482"/>
      <c r="IN3" s="482"/>
      <c r="IO3" s="482"/>
      <c r="IP3" s="482"/>
      <c r="IQ3" s="482"/>
      <c r="IR3" s="482"/>
      <c r="IS3" s="482"/>
      <c r="IT3" s="482"/>
      <c r="IU3" s="482"/>
      <c r="IV3" s="482"/>
      <c r="IW3" s="482"/>
      <c r="IX3" s="482"/>
      <c r="IY3" s="482"/>
      <c r="IZ3" s="482"/>
      <c r="JA3" s="482"/>
      <c r="JB3" s="482"/>
      <c r="JC3" s="482"/>
      <c r="JD3" s="482"/>
      <c r="JE3" s="482"/>
      <c r="JF3" s="482"/>
      <c r="JG3" s="482"/>
      <c r="JH3" s="482"/>
      <c r="JI3" s="482"/>
      <c r="JJ3" s="482"/>
      <c r="JK3" s="482"/>
      <c r="JL3" s="482"/>
      <c r="JM3" s="482"/>
      <c r="JN3" s="482"/>
      <c r="JO3" s="482"/>
      <c r="JP3" s="482"/>
      <c r="JQ3" s="482"/>
      <c r="JR3" s="482"/>
      <c r="JS3" s="482"/>
      <c r="JT3" s="482"/>
      <c r="JU3" s="482"/>
      <c r="JV3" s="482"/>
      <c r="JW3" s="482"/>
      <c r="JX3" s="482"/>
      <c r="JY3" s="482"/>
      <c r="JZ3" s="482"/>
      <c r="KA3" s="482"/>
      <c r="KB3" s="482"/>
      <c r="KC3" s="482"/>
      <c r="KD3" s="482"/>
      <c r="KE3" s="482"/>
      <c r="KF3" s="482"/>
      <c r="KG3" s="482"/>
      <c r="KH3" s="482"/>
      <c r="KI3" s="482"/>
      <c r="KJ3" s="482"/>
      <c r="KK3" s="482"/>
      <c r="KL3" s="482"/>
      <c r="KM3" s="482"/>
      <c r="KN3" s="482"/>
      <c r="KO3" s="482"/>
      <c r="KP3" s="482"/>
      <c r="KQ3" s="482"/>
      <c r="KR3" s="482"/>
      <c r="KS3" s="482"/>
      <c r="KT3" s="482"/>
      <c r="KU3" s="482"/>
      <c r="KV3" s="482"/>
      <c r="KW3" s="482"/>
      <c r="KX3" s="482"/>
      <c r="KY3" s="482"/>
      <c r="KZ3" s="482"/>
      <c r="LA3" s="482"/>
      <c r="LB3" s="482"/>
      <c r="LC3" s="482"/>
      <c r="LD3" s="482"/>
      <c r="LE3" s="482"/>
      <c r="LF3" s="482"/>
      <c r="LG3" s="482"/>
      <c r="LH3" s="482"/>
      <c r="LI3" s="482"/>
      <c r="LJ3" s="482"/>
      <c r="LK3" s="482"/>
      <c r="LL3" s="482"/>
      <c r="LM3" s="482"/>
      <c r="LN3" s="482"/>
      <c r="LO3" s="482"/>
      <c r="LP3" s="482"/>
      <c r="LQ3" s="482"/>
      <c r="LR3" s="482"/>
      <c r="LS3" s="482"/>
      <c r="LT3" s="482"/>
      <c r="LU3" s="482"/>
      <c r="LV3" s="482"/>
      <c r="LW3" s="482"/>
      <c r="LX3" s="482"/>
      <c r="LY3" s="482"/>
      <c r="LZ3" s="482"/>
      <c r="MA3" s="482"/>
      <c r="MB3" s="482"/>
      <c r="MC3" s="482"/>
      <c r="MD3" s="482"/>
      <c r="ME3" s="482"/>
      <c r="MF3" s="482"/>
      <c r="MG3" s="482"/>
      <c r="MH3" s="482"/>
      <c r="MI3" s="482"/>
      <c r="MJ3" s="482"/>
      <c r="MK3" s="482"/>
      <c r="ML3" s="482"/>
      <c r="MM3" s="482"/>
      <c r="MN3" s="482"/>
      <c r="MO3" s="482"/>
      <c r="MP3" s="482"/>
      <c r="MQ3" s="482"/>
      <c r="MR3" s="482"/>
      <c r="MS3" s="482"/>
      <c r="MT3" s="482"/>
      <c r="MU3" s="482"/>
      <c r="MV3" s="482"/>
      <c r="MW3" s="482"/>
      <c r="MX3" s="482"/>
      <c r="MY3" s="482"/>
      <c r="MZ3" s="482"/>
      <c r="NA3" s="482"/>
      <c r="NB3" s="482"/>
      <c r="NC3" s="482"/>
      <c r="ND3" s="482"/>
      <c r="NE3" s="482"/>
      <c r="NF3" s="482"/>
      <c r="NG3" s="482"/>
      <c r="NH3" s="482"/>
      <c r="NI3" s="482"/>
      <c r="NJ3" s="482"/>
      <c r="NK3" s="482"/>
      <c r="NL3" s="482"/>
      <c r="NM3" s="482"/>
      <c r="NN3" s="482"/>
      <c r="NO3" s="482"/>
      <c r="NP3" s="482"/>
      <c r="NQ3" s="482"/>
      <c r="NR3" s="482"/>
      <c r="NS3" s="482"/>
      <c r="NT3" s="482"/>
      <c r="NU3" s="482"/>
      <c r="NV3" s="482"/>
      <c r="NW3" s="482"/>
      <c r="NX3" s="482"/>
      <c r="NY3" s="482"/>
      <c r="NZ3" s="482"/>
      <c r="OA3" s="482"/>
      <c r="OB3" s="482"/>
      <c r="OC3" s="482"/>
      <c r="OD3" s="482"/>
      <c r="OE3" s="482"/>
      <c r="OF3" s="482"/>
      <c r="OG3" s="482"/>
      <c r="OH3" s="482"/>
      <c r="OI3" s="482"/>
      <c r="OJ3" s="482"/>
      <c r="OK3" s="482"/>
      <c r="OL3" s="482"/>
      <c r="OM3" s="482"/>
      <c r="ON3" s="482"/>
      <c r="OO3" s="482"/>
      <c r="OP3" s="482"/>
      <c r="OQ3" s="482"/>
      <c r="OR3" s="482"/>
      <c r="OS3" s="482"/>
      <c r="OT3" s="482"/>
      <c r="OU3" s="482"/>
      <c r="OV3" s="482"/>
      <c r="OW3" s="482"/>
      <c r="OX3" s="482"/>
      <c r="OY3" s="482"/>
      <c r="OZ3" s="482"/>
      <c r="PA3" s="482"/>
      <c r="PB3" s="482"/>
      <c r="PC3" s="482"/>
      <c r="PD3" s="482"/>
      <c r="PE3" s="482"/>
      <c r="PF3" s="482"/>
      <c r="PG3" s="482"/>
      <c r="PH3" s="482"/>
      <c r="PI3" s="482"/>
      <c r="PJ3" s="482"/>
      <c r="PK3" s="482"/>
      <c r="PL3" s="482"/>
      <c r="PM3" s="482"/>
      <c r="PN3" s="482"/>
      <c r="PO3" s="482"/>
      <c r="PP3" s="482"/>
      <c r="PQ3" s="482"/>
      <c r="PR3" s="482"/>
      <c r="PS3" s="482"/>
      <c r="PT3" s="482"/>
      <c r="PU3" s="482"/>
      <c r="PV3" s="482"/>
      <c r="PW3" s="482"/>
      <c r="PX3" s="482"/>
      <c r="PY3" s="482"/>
      <c r="PZ3" s="482"/>
      <c r="QA3" s="482"/>
      <c r="QB3" s="482"/>
      <c r="QC3" s="482"/>
      <c r="QD3" s="482"/>
      <c r="QE3" s="482"/>
      <c r="QF3" s="482"/>
      <c r="QG3" s="482"/>
      <c r="QH3" s="482"/>
      <c r="QI3" s="482"/>
      <c r="QJ3" s="482"/>
      <c r="QK3" s="482"/>
      <c r="QL3" s="482"/>
      <c r="QM3" s="482"/>
      <c r="QN3" s="482"/>
      <c r="QO3" s="482"/>
      <c r="QP3" s="482"/>
      <c r="QQ3" s="482"/>
      <c r="QR3" s="482"/>
      <c r="QS3" s="482"/>
      <c r="QT3" s="482"/>
      <c r="QU3" s="482"/>
      <c r="QV3" s="482"/>
      <c r="QW3" s="482"/>
      <c r="QX3" s="482"/>
      <c r="QY3" s="482"/>
      <c r="QZ3" s="482"/>
      <c r="RA3" s="482"/>
      <c r="RB3" s="482"/>
      <c r="RC3" s="482"/>
      <c r="RD3" s="482"/>
      <c r="RE3" s="482"/>
      <c r="RF3" s="482"/>
      <c r="RG3" s="482"/>
      <c r="RH3" s="482"/>
      <c r="RI3" s="482"/>
      <c r="RJ3" s="482"/>
      <c r="RK3" s="482"/>
      <c r="RL3" s="482"/>
      <c r="RM3" s="482"/>
      <c r="RN3" s="482"/>
      <c r="RO3" s="482"/>
      <c r="RP3" s="482"/>
      <c r="RQ3" s="482"/>
      <c r="RR3" s="482"/>
      <c r="RS3" s="482"/>
      <c r="RT3" s="482"/>
      <c r="RU3" s="482"/>
      <c r="RV3" s="482"/>
      <c r="RW3" s="482"/>
      <c r="RX3" s="482"/>
      <c r="RY3" s="482"/>
      <c r="RZ3" s="482"/>
      <c r="SA3" s="482"/>
      <c r="SB3" s="482"/>
      <c r="SC3" s="482"/>
      <c r="SD3" s="482"/>
      <c r="SE3" s="482"/>
      <c r="SF3" s="482"/>
      <c r="SG3" s="482"/>
      <c r="SH3" s="482"/>
      <c r="SI3" s="482"/>
      <c r="SJ3" s="482"/>
      <c r="SK3" s="482"/>
      <c r="SL3" s="482"/>
      <c r="SM3" s="482"/>
      <c r="SN3" s="482"/>
      <c r="SO3" s="482"/>
      <c r="SP3" s="482"/>
      <c r="SQ3" s="482"/>
      <c r="SR3" s="482"/>
      <c r="SS3" s="482"/>
      <c r="ST3" s="482"/>
      <c r="SU3" s="482"/>
      <c r="SV3" s="482"/>
      <c r="SW3" s="482"/>
      <c r="SX3" s="482"/>
      <c r="SY3" s="482"/>
      <c r="SZ3" s="482"/>
      <c r="TA3" s="482"/>
      <c r="TB3" s="482"/>
      <c r="TC3" s="482"/>
      <c r="TD3" s="482"/>
      <c r="TE3" s="482"/>
      <c r="TF3" s="482"/>
      <c r="TG3" s="482"/>
      <c r="TH3" s="482"/>
      <c r="TI3" s="482"/>
      <c r="TJ3" s="482"/>
      <c r="TK3" s="482"/>
      <c r="TL3" s="482"/>
      <c r="TM3" s="482"/>
      <c r="TN3" s="482"/>
      <c r="TO3" s="482"/>
      <c r="TP3" s="482"/>
      <c r="TQ3" s="482"/>
      <c r="TR3" s="482"/>
      <c r="TS3" s="482"/>
      <c r="TT3" s="482"/>
      <c r="TU3" s="482"/>
      <c r="TV3" s="482"/>
      <c r="TW3" s="482"/>
      <c r="TX3" s="482"/>
      <c r="TY3" s="482"/>
      <c r="TZ3" s="482"/>
      <c r="UA3" s="482"/>
      <c r="UB3" s="482"/>
      <c r="UC3" s="482"/>
      <c r="UD3" s="482"/>
      <c r="UE3" s="482"/>
      <c r="UF3" s="482"/>
      <c r="UG3" s="482"/>
      <c r="UH3" s="482"/>
      <c r="UI3" s="482"/>
      <c r="UJ3" s="482"/>
      <c r="UK3" s="482"/>
      <c r="UL3" s="482"/>
      <c r="UM3" s="482"/>
      <c r="UN3" s="482"/>
      <c r="UO3" s="482"/>
      <c r="UP3" s="482"/>
      <c r="UQ3" s="482"/>
      <c r="UR3" s="482"/>
      <c r="US3" s="482"/>
      <c r="UT3" s="482"/>
      <c r="UU3" s="482"/>
      <c r="UV3" s="482"/>
      <c r="UW3" s="482"/>
      <c r="UX3" s="482"/>
      <c r="UY3" s="482"/>
      <c r="UZ3" s="482"/>
      <c r="VA3" s="482"/>
      <c r="VB3" s="482"/>
      <c r="VC3" s="482"/>
      <c r="VD3" s="482"/>
      <c r="VE3" s="482"/>
      <c r="VF3" s="482"/>
      <c r="VG3" s="482"/>
      <c r="VH3" s="482"/>
      <c r="VI3" s="482"/>
      <c r="VJ3" s="482"/>
      <c r="VK3" s="482"/>
      <c r="VL3" s="482"/>
      <c r="VM3" s="482"/>
      <c r="VN3" s="482"/>
      <c r="VO3" s="482"/>
      <c r="VP3" s="482"/>
      <c r="VQ3" s="482"/>
      <c r="VR3" s="482"/>
      <c r="VS3" s="482"/>
      <c r="VT3" s="482"/>
      <c r="VU3" s="482"/>
      <c r="VV3" s="482"/>
      <c r="VW3" s="482"/>
      <c r="VX3" s="482"/>
      <c r="VY3" s="482"/>
      <c r="VZ3" s="482"/>
      <c r="WA3" s="482"/>
      <c r="WB3" s="482"/>
      <c r="WC3" s="482"/>
      <c r="WD3" s="482"/>
      <c r="WE3" s="482"/>
      <c r="WF3" s="482"/>
      <c r="WG3" s="482"/>
      <c r="WH3" s="482"/>
      <c r="WI3" s="482"/>
      <c r="WJ3" s="482"/>
      <c r="WK3" s="482"/>
      <c r="WL3" s="482"/>
      <c r="WM3" s="482"/>
      <c r="WN3" s="482"/>
      <c r="WO3" s="482"/>
      <c r="WP3" s="482"/>
      <c r="WQ3" s="482"/>
      <c r="WR3" s="482"/>
      <c r="WS3" s="482"/>
      <c r="WT3" s="482"/>
      <c r="WU3" s="482"/>
      <c r="WV3" s="482"/>
      <c r="WW3" s="482"/>
      <c r="WX3" s="482"/>
      <c r="WY3" s="482"/>
      <c r="WZ3" s="482"/>
      <c r="XA3" s="482"/>
      <c r="XB3" s="482"/>
      <c r="XC3" s="482"/>
      <c r="XD3" s="482"/>
      <c r="XE3" s="482"/>
      <c r="XF3" s="482"/>
      <c r="XG3" s="482"/>
      <c r="XH3" s="482"/>
      <c r="XI3" s="482"/>
      <c r="XJ3" s="482"/>
      <c r="XK3" s="482"/>
      <c r="XL3" s="482"/>
      <c r="XM3" s="482"/>
      <c r="XN3" s="482"/>
      <c r="XO3" s="482"/>
      <c r="XP3" s="482"/>
      <c r="XQ3" s="482"/>
      <c r="XR3" s="482"/>
      <c r="XS3" s="482"/>
      <c r="XT3" s="482"/>
      <c r="XU3" s="482"/>
      <c r="XV3" s="482"/>
      <c r="XW3" s="482"/>
      <c r="XX3" s="482"/>
      <c r="XY3" s="482"/>
      <c r="XZ3" s="482"/>
      <c r="YA3" s="482"/>
      <c r="YB3" s="482"/>
      <c r="YC3" s="482"/>
      <c r="YD3" s="482"/>
      <c r="YE3" s="482"/>
      <c r="YF3" s="482"/>
      <c r="YG3" s="482"/>
      <c r="YH3" s="482"/>
      <c r="YI3" s="482"/>
      <c r="YJ3" s="482"/>
      <c r="YK3" s="482"/>
      <c r="YL3" s="482"/>
      <c r="YM3" s="482"/>
      <c r="YN3" s="482"/>
      <c r="YO3" s="482"/>
      <c r="YP3" s="482"/>
      <c r="YQ3" s="482"/>
      <c r="YR3" s="482"/>
      <c r="YS3" s="482"/>
      <c r="YT3" s="482"/>
      <c r="YU3" s="482"/>
      <c r="YV3" s="482"/>
      <c r="YW3" s="482"/>
      <c r="YX3" s="482"/>
      <c r="YY3" s="482"/>
      <c r="YZ3" s="482"/>
      <c r="ZA3" s="482"/>
      <c r="ZB3" s="482"/>
      <c r="ZC3" s="482"/>
      <c r="ZD3" s="482"/>
      <c r="ZE3" s="482"/>
      <c r="ZF3" s="482"/>
      <c r="ZG3" s="482"/>
      <c r="ZH3" s="482"/>
      <c r="ZI3" s="482"/>
      <c r="ZJ3" s="482"/>
      <c r="ZK3" s="482"/>
      <c r="ZL3" s="482"/>
      <c r="ZM3" s="482"/>
      <c r="ZN3" s="482"/>
      <c r="ZO3" s="482"/>
      <c r="ZP3" s="482"/>
      <c r="ZQ3" s="482"/>
      <c r="ZR3" s="482"/>
      <c r="ZS3" s="482"/>
      <c r="ZT3" s="482"/>
      <c r="ZU3" s="482"/>
      <c r="ZV3" s="482"/>
      <c r="ZW3" s="482"/>
      <c r="ZX3" s="482"/>
      <c r="ZY3" s="482"/>
      <c r="ZZ3" s="482"/>
      <c r="AAA3" s="482"/>
      <c r="AAB3" s="482"/>
      <c r="AAC3" s="482"/>
      <c r="AAD3" s="482"/>
      <c r="AAE3" s="482"/>
      <c r="AAF3" s="482"/>
      <c r="AAG3" s="482"/>
      <c r="AAH3" s="482"/>
      <c r="AAI3" s="482"/>
      <c r="AAJ3" s="482"/>
      <c r="AAK3" s="482"/>
      <c r="AAL3" s="482"/>
      <c r="AAM3" s="482"/>
      <c r="AAN3" s="482"/>
      <c r="AAO3" s="482"/>
      <c r="AAP3" s="482"/>
      <c r="AAQ3" s="482"/>
      <c r="AAR3" s="482"/>
      <c r="AAS3" s="482"/>
      <c r="AAT3" s="482"/>
      <c r="AAU3" s="482"/>
      <c r="AAV3" s="482"/>
      <c r="AAW3" s="482"/>
      <c r="AAX3" s="482"/>
      <c r="AAY3" s="482"/>
      <c r="AAZ3" s="482"/>
      <c r="ABA3" s="482"/>
      <c r="ABB3" s="482"/>
      <c r="ABC3" s="482"/>
      <c r="ABD3" s="482"/>
      <c r="ABE3" s="482"/>
      <c r="ABF3" s="482"/>
      <c r="ABG3" s="482"/>
      <c r="ABH3" s="482"/>
      <c r="ABI3" s="482"/>
      <c r="ABJ3" s="482"/>
      <c r="ABK3" s="482"/>
      <c r="ABL3" s="482"/>
      <c r="ABM3" s="482"/>
      <c r="ABN3" s="482"/>
      <c r="ABO3" s="482"/>
      <c r="ABP3" s="482"/>
      <c r="ABQ3" s="482"/>
      <c r="ABR3" s="482"/>
      <c r="ABS3" s="482"/>
      <c r="ABT3" s="482"/>
      <c r="ABU3" s="482"/>
      <c r="ABV3" s="482"/>
      <c r="ABW3" s="482"/>
      <c r="ABX3" s="482"/>
      <c r="ABY3" s="482"/>
      <c r="ABZ3" s="482"/>
      <c r="ACA3" s="482"/>
      <c r="ACB3" s="482"/>
      <c r="ACC3" s="482"/>
      <c r="ACD3" s="482"/>
      <c r="ACE3" s="482"/>
      <c r="ACF3" s="482"/>
      <c r="ACG3" s="482"/>
      <c r="ACH3" s="482"/>
      <c r="ACI3" s="482"/>
      <c r="ACJ3" s="482"/>
      <c r="ACK3" s="482"/>
      <c r="ACL3" s="482"/>
      <c r="ACM3" s="482"/>
      <c r="ACN3" s="482"/>
      <c r="ACO3" s="482"/>
      <c r="ACP3" s="482"/>
      <c r="ACQ3" s="482"/>
      <c r="ACR3" s="482"/>
      <c r="ACS3" s="482"/>
      <c r="ACT3" s="482"/>
      <c r="ACU3" s="482"/>
      <c r="ACV3" s="482"/>
      <c r="ACW3" s="482"/>
      <c r="ACX3" s="482"/>
      <c r="ACY3" s="482"/>
      <c r="ACZ3" s="482"/>
      <c r="ADA3" s="482"/>
      <c r="ADB3" s="482"/>
      <c r="ADC3" s="482"/>
      <c r="ADD3" s="482"/>
      <c r="ADE3" s="482"/>
      <c r="ADF3" s="482"/>
      <c r="ADG3" s="482"/>
      <c r="ADH3" s="482"/>
      <c r="ADI3" s="482"/>
      <c r="ADJ3" s="482"/>
      <c r="ADK3" s="482"/>
      <c r="ADL3" s="482"/>
      <c r="ADM3" s="482"/>
      <c r="ADN3" s="482"/>
      <c r="ADO3" s="482"/>
      <c r="ADP3" s="482"/>
      <c r="ADQ3" s="482"/>
      <c r="ADR3" s="482"/>
      <c r="ADS3" s="482"/>
      <c r="ADT3" s="482"/>
      <c r="ADU3" s="482"/>
      <c r="ADV3" s="482"/>
      <c r="ADW3" s="482"/>
      <c r="ADX3" s="482"/>
      <c r="ADY3" s="482"/>
      <c r="ADZ3" s="482"/>
      <c r="AEA3" s="482"/>
      <c r="AEB3" s="482"/>
      <c r="AEC3" s="482"/>
      <c r="AED3" s="482"/>
      <c r="AEE3" s="482"/>
      <c r="AEF3" s="482"/>
      <c r="AEG3" s="482"/>
      <c r="AEH3" s="482"/>
      <c r="AEI3" s="482"/>
      <c r="AEJ3" s="482"/>
      <c r="AEK3" s="482"/>
      <c r="AEL3" s="482"/>
      <c r="AEM3" s="482"/>
      <c r="AEN3" s="482"/>
      <c r="AEO3" s="482"/>
      <c r="AEP3" s="482"/>
      <c r="AEQ3" s="482"/>
      <c r="AER3" s="482"/>
      <c r="AES3" s="482"/>
      <c r="AET3" s="482"/>
      <c r="AEU3" s="482"/>
      <c r="AEV3" s="482"/>
      <c r="AEW3" s="482"/>
      <c r="AEX3" s="482"/>
      <c r="AEY3" s="482"/>
      <c r="AEZ3" s="482"/>
      <c r="AFA3" s="482"/>
      <c r="AFB3" s="482"/>
      <c r="AFC3" s="482"/>
      <c r="AFD3" s="482"/>
      <c r="AFE3" s="482"/>
      <c r="AFF3" s="482"/>
      <c r="AFG3" s="482"/>
      <c r="AFH3" s="482"/>
      <c r="AFI3" s="482"/>
      <c r="AFJ3" s="482"/>
      <c r="AFK3" s="482"/>
      <c r="AFL3" s="482"/>
      <c r="AFM3" s="482"/>
      <c r="AFN3" s="482"/>
      <c r="AFO3" s="482"/>
      <c r="AFP3" s="482"/>
      <c r="AFQ3" s="482"/>
      <c r="AFR3" s="482"/>
      <c r="AFS3" s="482"/>
      <c r="AFT3" s="482"/>
      <c r="AFU3" s="482"/>
      <c r="AFV3" s="482"/>
      <c r="AFW3" s="482"/>
      <c r="AFX3" s="482"/>
      <c r="AFY3" s="482"/>
      <c r="AFZ3" s="482"/>
      <c r="AGA3" s="482"/>
      <c r="AGB3" s="482"/>
      <c r="AGC3" s="482"/>
      <c r="AGD3" s="482"/>
      <c r="AGE3" s="482"/>
      <c r="AGF3" s="482"/>
      <c r="AGG3" s="482"/>
      <c r="AGH3" s="482"/>
      <c r="AGI3" s="482"/>
      <c r="AGJ3" s="482"/>
      <c r="AGK3" s="482"/>
      <c r="AGL3" s="482"/>
      <c r="AGM3" s="482"/>
      <c r="AGN3" s="482"/>
      <c r="AGO3" s="482"/>
      <c r="AGP3" s="482"/>
      <c r="AGQ3" s="482"/>
      <c r="AGR3" s="482"/>
      <c r="AGS3" s="482"/>
      <c r="AGT3" s="482"/>
      <c r="AGU3" s="482"/>
      <c r="AGV3" s="482"/>
      <c r="AGW3" s="482"/>
      <c r="AGX3" s="482"/>
      <c r="AGY3" s="482"/>
      <c r="AGZ3" s="482"/>
      <c r="AHA3" s="482"/>
      <c r="AHB3" s="482"/>
      <c r="AHC3" s="482"/>
      <c r="AHD3" s="482"/>
      <c r="AHE3" s="482"/>
      <c r="AHF3" s="482"/>
      <c r="AHG3" s="482"/>
      <c r="AHH3" s="482"/>
      <c r="AHI3" s="482"/>
      <c r="AHJ3" s="482"/>
      <c r="AHK3" s="482"/>
      <c r="AHL3" s="482"/>
      <c r="AHM3" s="482"/>
      <c r="AHN3" s="482"/>
      <c r="AHO3" s="482"/>
      <c r="AHP3" s="482"/>
      <c r="AHQ3" s="482"/>
      <c r="AHR3" s="482"/>
      <c r="AHS3" s="482"/>
      <c r="AHT3" s="482"/>
      <c r="AHU3" s="482"/>
      <c r="AHV3" s="482"/>
      <c r="AHW3" s="482"/>
      <c r="AHX3" s="482"/>
      <c r="AHY3" s="482"/>
      <c r="AHZ3" s="482"/>
      <c r="AIA3" s="482"/>
      <c r="AIB3" s="482"/>
      <c r="AIC3" s="482"/>
      <c r="AID3" s="482"/>
      <c r="AIE3" s="482"/>
      <c r="AIF3" s="482"/>
      <c r="AIG3" s="482"/>
      <c r="AIH3" s="482"/>
      <c r="AII3" s="482"/>
      <c r="AIJ3" s="482"/>
      <c r="AIK3" s="482"/>
      <c r="AIL3" s="482"/>
      <c r="AIM3" s="482"/>
      <c r="AIN3" s="482"/>
      <c r="AIO3" s="482"/>
      <c r="AIP3" s="482"/>
      <c r="AIQ3" s="482"/>
      <c r="AIR3" s="482"/>
      <c r="AIS3" s="482"/>
      <c r="AIT3" s="482"/>
      <c r="AIU3" s="482"/>
      <c r="AIV3" s="482"/>
      <c r="AIW3" s="482"/>
      <c r="AIX3" s="482"/>
      <c r="AIY3" s="482"/>
      <c r="AIZ3" s="482"/>
      <c r="AJA3" s="482"/>
      <c r="AJB3" s="482"/>
      <c r="AJC3" s="482"/>
      <c r="AJD3" s="482"/>
      <c r="AJE3" s="482"/>
      <c r="AJF3" s="482"/>
      <c r="AJG3" s="482"/>
      <c r="AJH3" s="482"/>
      <c r="AJI3" s="482"/>
      <c r="AJJ3" s="482"/>
      <c r="AJK3" s="482"/>
      <c r="AJL3" s="482"/>
      <c r="AJM3" s="482"/>
      <c r="AJN3" s="482"/>
      <c r="AJO3" s="482"/>
      <c r="AJP3" s="482"/>
      <c r="AJQ3" s="482"/>
      <c r="AJR3" s="482"/>
      <c r="AJS3" s="482"/>
      <c r="AJT3" s="482"/>
      <c r="AJU3" s="482"/>
      <c r="AJV3" s="482"/>
      <c r="AJW3" s="482"/>
      <c r="AJX3" s="482"/>
      <c r="AJY3" s="482"/>
      <c r="AJZ3" s="482"/>
      <c r="AKA3" s="482"/>
      <c r="AKB3" s="482"/>
      <c r="AKC3" s="482"/>
      <c r="AKD3" s="482"/>
      <c r="AKE3" s="482"/>
      <c r="AKF3" s="482"/>
      <c r="AKG3" s="482"/>
      <c r="AKH3" s="482"/>
      <c r="AKI3" s="482"/>
      <c r="AKJ3" s="482"/>
      <c r="AKK3" s="482"/>
      <c r="AKL3" s="482"/>
      <c r="AKM3" s="482"/>
      <c r="AKN3" s="482"/>
      <c r="AKO3" s="482"/>
      <c r="AKP3" s="482"/>
      <c r="AKQ3" s="482"/>
      <c r="AKR3" s="482"/>
      <c r="AKS3" s="482"/>
      <c r="AKT3" s="482"/>
      <c r="AKU3" s="482"/>
      <c r="AKV3" s="482"/>
      <c r="AKW3" s="482"/>
      <c r="AKX3" s="482"/>
      <c r="AKY3" s="482"/>
      <c r="AKZ3" s="482"/>
      <c r="ALA3" s="482"/>
      <c r="ALB3" s="482"/>
      <c r="ALC3" s="482"/>
      <c r="ALD3" s="482"/>
      <c r="ALE3" s="482"/>
      <c r="ALF3" s="482"/>
      <c r="ALG3" s="482"/>
      <c r="ALH3" s="482"/>
      <c r="ALI3" s="482"/>
      <c r="ALJ3" s="482"/>
      <c r="ALK3" s="482"/>
      <c r="ALL3" s="482"/>
      <c r="ALM3" s="482"/>
      <c r="ALN3" s="482"/>
      <c r="ALO3" s="482"/>
      <c r="ALP3" s="482"/>
    </row>
    <row r="4" spans="1:1004" s="485" customFormat="1" ht="15.75" x14ac:dyDescent="0.25">
      <c r="A4" s="563"/>
      <c r="B4" s="564"/>
      <c r="C4" s="564"/>
      <c r="D4" s="564"/>
      <c r="E4" s="565"/>
      <c r="F4" s="487" t="s">
        <v>20</v>
      </c>
      <c r="G4" s="488">
        <v>17</v>
      </c>
      <c r="H4" s="488">
        <v>321</v>
      </c>
      <c r="I4" s="488">
        <v>31</v>
      </c>
      <c r="J4" s="488">
        <v>18</v>
      </c>
      <c r="K4" s="488">
        <v>10</v>
      </c>
      <c r="L4" s="484"/>
      <c r="M4" s="484"/>
      <c r="N4" s="484"/>
      <c r="O4" s="484"/>
      <c r="P4" s="484"/>
      <c r="Q4" s="484"/>
      <c r="R4" s="484"/>
      <c r="S4" s="484"/>
      <c r="T4" s="484"/>
      <c r="U4" s="484"/>
      <c r="V4" s="484"/>
      <c r="W4" s="484"/>
      <c r="X4" s="484"/>
      <c r="Y4" s="484"/>
      <c r="Z4" s="484"/>
      <c r="AA4" s="484"/>
      <c r="AB4" s="484"/>
      <c r="AC4" s="484"/>
      <c r="AD4" s="484"/>
      <c r="AE4" s="484"/>
      <c r="AF4" s="484"/>
      <c r="AG4" s="484"/>
      <c r="AH4" s="484"/>
      <c r="AI4" s="484"/>
      <c r="AJ4" s="484"/>
      <c r="AK4" s="484"/>
      <c r="AL4" s="484"/>
      <c r="AM4" s="484"/>
      <c r="AN4" s="484"/>
      <c r="AO4" s="484"/>
      <c r="AP4" s="484"/>
      <c r="AQ4" s="484"/>
      <c r="AR4" s="484"/>
      <c r="AS4" s="484"/>
      <c r="AT4" s="484"/>
      <c r="AU4" s="484"/>
      <c r="AV4" s="484"/>
      <c r="AW4" s="484"/>
      <c r="AX4" s="484"/>
      <c r="AY4" s="484"/>
      <c r="AZ4" s="484"/>
      <c r="BA4" s="484"/>
      <c r="BB4" s="484"/>
      <c r="BC4" s="484"/>
      <c r="BD4" s="484"/>
      <c r="BE4" s="484"/>
      <c r="BF4" s="484"/>
      <c r="BG4" s="484"/>
      <c r="BH4" s="484"/>
      <c r="BI4" s="484"/>
      <c r="BJ4" s="484"/>
      <c r="BK4" s="484"/>
      <c r="BL4" s="484"/>
      <c r="BM4" s="484"/>
      <c r="BN4" s="484"/>
      <c r="BO4" s="484"/>
      <c r="BP4" s="484"/>
      <c r="BQ4" s="484"/>
      <c r="BR4" s="484"/>
      <c r="BS4" s="484"/>
      <c r="BT4" s="484"/>
      <c r="BU4" s="484"/>
      <c r="BV4" s="484"/>
      <c r="BW4" s="484"/>
      <c r="BX4" s="484"/>
      <c r="BY4" s="484"/>
      <c r="BZ4" s="484"/>
      <c r="CA4" s="484"/>
      <c r="CB4" s="484"/>
      <c r="CC4" s="484"/>
      <c r="CD4" s="484"/>
      <c r="CE4" s="484"/>
      <c r="CF4" s="484"/>
      <c r="CG4" s="484"/>
      <c r="CH4" s="484"/>
      <c r="CI4" s="484"/>
      <c r="CJ4" s="484"/>
      <c r="CK4" s="484"/>
      <c r="CL4" s="484"/>
      <c r="CM4" s="484"/>
      <c r="CN4" s="484"/>
      <c r="CO4" s="484"/>
      <c r="CP4" s="484"/>
      <c r="CQ4" s="484"/>
      <c r="CR4" s="484"/>
      <c r="CS4" s="484"/>
      <c r="CT4" s="484"/>
      <c r="CU4" s="484"/>
      <c r="CV4" s="484"/>
      <c r="CW4" s="484"/>
      <c r="CX4" s="484"/>
      <c r="CY4" s="484"/>
      <c r="CZ4" s="484"/>
      <c r="DA4" s="484"/>
      <c r="DB4" s="484"/>
      <c r="DC4" s="484"/>
      <c r="DD4" s="484"/>
      <c r="DE4" s="484"/>
      <c r="DF4" s="484"/>
      <c r="DG4" s="484"/>
      <c r="DH4" s="484"/>
      <c r="DI4" s="484"/>
      <c r="DJ4" s="484"/>
      <c r="DK4" s="484"/>
      <c r="DL4" s="484"/>
      <c r="DM4" s="484"/>
      <c r="DN4" s="484"/>
      <c r="DO4" s="484"/>
      <c r="DP4" s="484"/>
      <c r="DQ4" s="484"/>
      <c r="DR4" s="484"/>
      <c r="DS4" s="484"/>
      <c r="DT4" s="484"/>
      <c r="DU4" s="484"/>
      <c r="DV4" s="484"/>
      <c r="DW4" s="484"/>
      <c r="DX4" s="484"/>
      <c r="DY4" s="484"/>
      <c r="DZ4" s="484"/>
      <c r="EA4" s="484"/>
      <c r="EB4" s="484"/>
      <c r="EC4" s="484"/>
      <c r="ED4" s="484"/>
      <c r="EE4" s="484"/>
      <c r="EF4" s="484"/>
      <c r="EG4" s="484"/>
      <c r="EH4" s="484"/>
      <c r="EI4" s="484"/>
      <c r="EJ4" s="484"/>
      <c r="EK4" s="484"/>
      <c r="EL4" s="484"/>
      <c r="EM4" s="484"/>
      <c r="EN4" s="484"/>
      <c r="EO4" s="484"/>
      <c r="EP4" s="484"/>
      <c r="EQ4" s="484"/>
      <c r="ER4" s="484"/>
      <c r="ES4" s="484"/>
      <c r="ET4" s="484"/>
      <c r="EU4" s="484"/>
      <c r="EV4" s="484"/>
      <c r="EW4" s="484"/>
      <c r="EX4" s="484"/>
      <c r="EY4" s="484"/>
      <c r="EZ4" s="484"/>
      <c r="FA4" s="484"/>
      <c r="FB4" s="484"/>
      <c r="FC4" s="484"/>
      <c r="FD4" s="484"/>
      <c r="FE4" s="484"/>
      <c r="FF4" s="484"/>
      <c r="FG4" s="484"/>
      <c r="FH4" s="484"/>
      <c r="FI4" s="484"/>
      <c r="FJ4" s="484"/>
      <c r="FK4" s="484"/>
      <c r="FL4" s="484"/>
      <c r="FM4" s="484"/>
      <c r="FN4" s="484"/>
      <c r="FO4" s="484"/>
      <c r="FP4" s="484"/>
      <c r="FQ4" s="484"/>
      <c r="FR4" s="484"/>
      <c r="FS4" s="484"/>
      <c r="FT4" s="484"/>
      <c r="FU4" s="484"/>
      <c r="FV4" s="484"/>
      <c r="FW4" s="484"/>
      <c r="FX4" s="484"/>
      <c r="FY4" s="484"/>
      <c r="FZ4" s="484"/>
      <c r="GA4" s="484"/>
      <c r="GB4" s="484"/>
      <c r="GC4" s="484"/>
      <c r="GD4" s="484"/>
      <c r="GE4" s="484"/>
      <c r="GF4" s="484"/>
      <c r="GG4" s="484"/>
      <c r="GH4" s="484"/>
      <c r="GI4" s="484"/>
      <c r="GJ4" s="484"/>
      <c r="GK4" s="484"/>
      <c r="GL4" s="484"/>
      <c r="GM4" s="484"/>
      <c r="GN4" s="484"/>
      <c r="GO4" s="484"/>
      <c r="GP4" s="484"/>
      <c r="GQ4" s="484"/>
      <c r="GR4" s="484"/>
      <c r="GS4" s="484"/>
      <c r="GT4" s="484"/>
      <c r="GU4" s="484"/>
      <c r="GV4" s="484"/>
      <c r="GW4" s="484"/>
      <c r="GX4" s="484"/>
      <c r="GY4" s="484"/>
      <c r="GZ4" s="484"/>
      <c r="HA4" s="484"/>
      <c r="HB4" s="484"/>
      <c r="HC4" s="484"/>
      <c r="HD4" s="484"/>
      <c r="HE4" s="484"/>
      <c r="HF4" s="484"/>
      <c r="HG4" s="484"/>
      <c r="HH4" s="484"/>
      <c r="HI4" s="484"/>
      <c r="HJ4" s="484"/>
      <c r="HK4" s="484"/>
      <c r="HL4" s="484"/>
      <c r="HM4" s="484"/>
      <c r="HN4" s="484"/>
      <c r="HO4" s="484"/>
      <c r="HP4" s="484"/>
      <c r="HQ4" s="484"/>
      <c r="HR4" s="484"/>
      <c r="HS4" s="484"/>
      <c r="HT4" s="484"/>
      <c r="HU4" s="484"/>
      <c r="HV4" s="484"/>
      <c r="HW4" s="484"/>
      <c r="HX4" s="484"/>
      <c r="HY4" s="484"/>
      <c r="HZ4" s="484"/>
      <c r="IA4" s="484"/>
      <c r="IB4" s="484"/>
      <c r="IC4" s="484"/>
      <c r="ID4" s="484"/>
      <c r="IE4" s="484"/>
      <c r="IF4" s="484"/>
      <c r="IG4" s="484"/>
      <c r="IH4" s="484"/>
      <c r="II4" s="484"/>
      <c r="IJ4" s="484"/>
      <c r="IK4" s="484"/>
      <c r="IL4" s="484"/>
      <c r="IM4" s="484"/>
      <c r="IN4" s="484"/>
      <c r="IO4" s="484"/>
      <c r="IP4" s="484"/>
      <c r="IQ4" s="484"/>
      <c r="IR4" s="484"/>
      <c r="IS4" s="484"/>
      <c r="IT4" s="484"/>
      <c r="IU4" s="484"/>
      <c r="IV4" s="484"/>
      <c r="IW4" s="484"/>
      <c r="IX4" s="484"/>
      <c r="IY4" s="484"/>
      <c r="IZ4" s="484"/>
      <c r="JA4" s="484"/>
      <c r="JB4" s="484"/>
      <c r="JC4" s="484"/>
      <c r="JD4" s="484"/>
      <c r="JE4" s="484"/>
      <c r="JF4" s="484"/>
      <c r="JG4" s="484"/>
      <c r="JH4" s="484"/>
      <c r="JI4" s="484"/>
      <c r="JJ4" s="484"/>
      <c r="JK4" s="484"/>
      <c r="JL4" s="484"/>
      <c r="JM4" s="484"/>
      <c r="JN4" s="484"/>
      <c r="JO4" s="484"/>
      <c r="JP4" s="484"/>
      <c r="JQ4" s="484"/>
      <c r="JR4" s="484"/>
      <c r="JS4" s="484"/>
      <c r="JT4" s="484"/>
      <c r="JU4" s="484"/>
      <c r="JV4" s="484"/>
      <c r="JW4" s="484"/>
      <c r="JX4" s="484"/>
      <c r="JY4" s="484"/>
      <c r="JZ4" s="484"/>
      <c r="KA4" s="484"/>
      <c r="KB4" s="484"/>
      <c r="KC4" s="484"/>
      <c r="KD4" s="484"/>
      <c r="KE4" s="484"/>
      <c r="KF4" s="484"/>
      <c r="KG4" s="484"/>
      <c r="KH4" s="484"/>
      <c r="KI4" s="484"/>
      <c r="KJ4" s="484"/>
      <c r="KK4" s="484"/>
      <c r="KL4" s="484"/>
      <c r="KM4" s="484"/>
      <c r="KN4" s="484"/>
      <c r="KO4" s="484"/>
      <c r="KP4" s="484"/>
      <c r="KQ4" s="484"/>
      <c r="KR4" s="484"/>
      <c r="KS4" s="484"/>
      <c r="KT4" s="484"/>
      <c r="KU4" s="484"/>
      <c r="KV4" s="484"/>
      <c r="KW4" s="484"/>
      <c r="KX4" s="484"/>
      <c r="KY4" s="484"/>
      <c r="KZ4" s="484"/>
      <c r="LA4" s="484"/>
      <c r="LB4" s="484"/>
      <c r="LC4" s="484"/>
      <c r="LD4" s="484"/>
      <c r="LE4" s="484"/>
      <c r="LF4" s="484"/>
      <c r="LG4" s="484"/>
      <c r="LH4" s="484"/>
      <c r="LI4" s="484"/>
      <c r="LJ4" s="484"/>
      <c r="LK4" s="484"/>
      <c r="LL4" s="484"/>
      <c r="LM4" s="484"/>
      <c r="LN4" s="484"/>
      <c r="LO4" s="484"/>
      <c r="LP4" s="484"/>
      <c r="LQ4" s="484"/>
      <c r="LR4" s="484"/>
      <c r="LS4" s="484"/>
      <c r="LT4" s="484"/>
      <c r="LU4" s="484"/>
      <c r="LV4" s="484"/>
      <c r="LW4" s="484"/>
      <c r="LX4" s="484"/>
      <c r="LY4" s="484"/>
      <c r="LZ4" s="484"/>
      <c r="MA4" s="484"/>
      <c r="MB4" s="484"/>
      <c r="MC4" s="484"/>
      <c r="MD4" s="484"/>
      <c r="ME4" s="484"/>
      <c r="MF4" s="484"/>
      <c r="MG4" s="484"/>
      <c r="MH4" s="484"/>
      <c r="MI4" s="484"/>
      <c r="MJ4" s="484"/>
      <c r="MK4" s="484"/>
      <c r="ML4" s="484"/>
      <c r="MM4" s="484"/>
      <c r="MN4" s="484"/>
      <c r="MO4" s="484"/>
      <c r="MP4" s="484"/>
      <c r="MQ4" s="484"/>
      <c r="MR4" s="484"/>
      <c r="MS4" s="484"/>
      <c r="MT4" s="484"/>
      <c r="MU4" s="484"/>
      <c r="MV4" s="484"/>
      <c r="MW4" s="484"/>
      <c r="MX4" s="484"/>
      <c r="MY4" s="484"/>
      <c r="MZ4" s="484"/>
      <c r="NA4" s="484"/>
      <c r="NB4" s="484"/>
      <c r="NC4" s="484"/>
      <c r="ND4" s="484"/>
      <c r="NE4" s="484"/>
      <c r="NF4" s="484"/>
      <c r="NG4" s="484"/>
      <c r="NH4" s="484"/>
      <c r="NI4" s="484"/>
      <c r="NJ4" s="484"/>
      <c r="NK4" s="484"/>
      <c r="NL4" s="484"/>
      <c r="NM4" s="484"/>
      <c r="NN4" s="484"/>
      <c r="NO4" s="484"/>
      <c r="NP4" s="484"/>
      <c r="NQ4" s="484"/>
      <c r="NR4" s="484"/>
      <c r="NS4" s="484"/>
      <c r="NT4" s="484"/>
      <c r="NU4" s="484"/>
      <c r="NV4" s="484"/>
      <c r="NW4" s="484"/>
      <c r="NX4" s="484"/>
      <c r="NY4" s="484"/>
      <c r="NZ4" s="484"/>
      <c r="OA4" s="484"/>
      <c r="OB4" s="484"/>
      <c r="OC4" s="484"/>
      <c r="OD4" s="484"/>
      <c r="OE4" s="484"/>
      <c r="OF4" s="484"/>
      <c r="OG4" s="484"/>
      <c r="OH4" s="484"/>
      <c r="OI4" s="484"/>
      <c r="OJ4" s="484"/>
      <c r="OK4" s="484"/>
      <c r="OL4" s="484"/>
      <c r="OM4" s="484"/>
      <c r="ON4" s="484"/>
      <c r="OO4" s="484"/>
      <c r="OP4" s="484"/>
      <c r="OQ4" s="484"/>
      <c r="OR4" s="484"/>
      <c r="OS4" s="484"/>
      <c r="OT4" s="484"/>
      <c r="OU4" s="484"/>
      <c r="OV4" s="484"/>
      <c r="OW4" s="484"/>
      <c r="OX4" s="484"/>
      <c r="OY4" s="484"/>
      <c r="OZ4" s="484"/>
      <c r="PA4" s="484"/>
      <c r="PB4" s="484"/>
      <c r="PC4" s="484"/>
      <c r="PD4" s="484"/>
      <c r="PE4" s="484"/>
      <c r="PF4" s="484"/>
      <c r="PG4" s="484"/>
      <c r="PH4" s="484"/>
      <c r="PI4" s="484"/>
      <c r="PJ4" s="484"/>
      <c r="PK4" s="484"/>
      <c r="PL4" s="484"/>
      <c r="PM4" s="484"/>
      <c r="PN4" s="484"/>
      <c r="PO4" s="484"/>
      <c r="PP4" s="484"/>
      <c r="PQ4" s="484"/>
      <c r="PR4" s="484"/>
      <c r="PS4" s="484"/>
      <c r="PT4" s="484"/>
      <c r="PU4" s="484"/>
      <c r="PV4" s="484"/>
      <c r="PW4" s="484"/>
      <c r="PX4" s="484"/>
      <c r="PY4" s="484"/>
      <c r="PZ4" s="484"/>
      <c r="QA4" s="484"/>
      <c r="QB4" s="484"/>
      <c r="QC4" s="484"/>
      <c r="QD4" s="484"/>
      <c r="QE4" s="484"/>
      <c r="QF4" s="484"/>
      <c r="QG4" s="484"/>
      <c r="QH4" s="484"/>
      <c r="QI4" s="484"/>
      <c r="QJ4" s="484"/>
      <c r="QK4" s="484"/>
      <c r="QL4" s="484"/>
      <c r="QM4" s="484"/>
      <c r="QN4" s="484"/>
      <c r="QO4" s="484"/>
      <c r="QP4" s="484"/>
      <c r="QQ4" s="484"/>
      <c r="QR4" s="484"/>
      <c r="QS4" s="484"/>
      <c r="QT4" s="484"/>
      <c r="QU4" s="484"/>
      <c r="QV4" s="484"/>
      <c r="QW4" s="484"/>
      <c r="QX4" s="484"/>
      <c r="QY4" s="484"/>
      <c r="QZ4" s="484"/>
      <c r="RA4" s="484"/>
      <c r="RB4" s="484"/>
      <c r="RC4" s="484"/>
      <c r="RD4" s="484"/>
      <c r="RE4" s="484"/>
      <c r="RF4" s="484"/>
      <c r="RG4" s="484"/>
      <c r="RH4" s="484"/>
      <c r="RI4" s="484"/>
      <c r="RJ4" s="484"/>
      <c r="RK4" s="484"/>
      <c r="RL4" s="484"/>
      <c r="RM4" s="484"/>
      <c r="RN4" s="484"/>
      <c r="RO4" s="484"/>
      <c r="RP4" s="484"/>
      <c r="RQ4" s="484"/>
      <c r="RR4" s="484"/>
      <c r="RS4" s="484"/>
      <c r="RT4" s="484"/>
      <c r="RU4" s="484"/>
      <c r="RV4" s="484"/>
      <c r="RW4" s="484"/>
      <c r="RX4" s="484"/>
      <c r="RY4" s="484"/>
      <c r="RZ4" s="484"/>
      <c r="SA4" s="484"/>
      <c r="SB4" s="484"/>
      <c r="SC4" s="484"/>
      <c r="SD4" s="484"/>
      <c r="SE4" s="484"/>
      <c r="SF4" s="484"/>
      <c r="SG4" s="484"/>
      <c r="SH4" s="484"/>
      <c r="SI4" s="484"/>
      <c r="SJ4" s="484"/>
      <c r="SK4" s="484"/>
      <c r="SL4" s="484"/>
      <c r="SM4" s="484"/>
      <c r="SN4" s="484"/>
      <c r="SO4" s="484"/>
      <c r="SP4" s="484"/>
      <c r="SQ4" s="484"/>
      <c r="SR4" s="484"/>
      <c r="SS4" s="484"/>
      <c r="ST4" s="484"/>
      <c r="SU4" s="484"/>
      <c r="SV4" s="484"/>
      <c r="SW4" s="484"/>
      <c r="SX4" s="484"/>
      <c r="SY4" s="484"/>
      <c r="SZ4" s="484"/>
      <c r="TA4" s="484"/>
      <c r="TB4" s="484"/>
      <c r="TC4" s="484"/>
      <c r="TD4" s="484"/>
      <c r="TE4" s="484"/>
      <c r="TF4" s="484"/>
      <c r="TG4" s="484"/>
      <c r="TH4" s="484"/>
      <c r="TI4" s="484"/>
      <c r="TJ4" s="484"/>
      <c r="TK4" s="484"/>
      <c r="TL4" s="484"/>
      <c r="TM4" s="484"/>
      <c r="TN4" s="484"/>
      <c r="TO4" s="484"/>
      <c r="TP4" s="484"/>
      <c r="TQ4" s="484"/>
      <c r="TR4" s="484"/>
      <c r="TS4" s="484"/>
      <c r="TT4" s="484"/>
      <c r="TU4" s="484"/>
      <c r="TV4" s="484"/>
      <c r="TW4" s="484"/>
      <c r="TX4" s="484"/>
      <c r="TY4" s="484"/>
      <c r="TZ4" s="484"/>
      <c r="UA4" s="484"/>
      <c r="UB4" s="484"/>
      <c r="UC4" s="484"/>
      <c r="UD4" s="484"/>
      <c r="UE4" s="484"/>
      <c r="UF4" s="484"/>
      <c r="UG4" s="484"/>
      <c r="UH4" s="484"/>
      <c r="UI4" s="484"/>
      <c r="UJ4" s="484"/>
      <c r="UK4" s="484"/>
      <c r="UL4" s="484"/>
      <c r="UM4" s="484"/>
      <c r="UN4" s="484"/>
      <c r="UO4" s="484"/>
      <c r="UP4" s="484"/>
      <c r="UQ4" s="484"/>
      <c r="UR4" s="484"/>
      <c r="US4" s="484"/>
      <c r="UT4" s="484"/>
      <c r="UU4" s="484"/>
      <c r="UV4" s="484"/>
      <c r="UW4" s="484"/>
      <c r="UX4" s="484"/>
      <c r="UY4" s="484"/>
      <c r="UZ4" s="484"/>
      <c r="VA4" s="484"/>
      <c r="VB4" s="484"/>
      <c r="VC4" s="484"/>
      <c r="VD4" s="484"/>
      <c r="VE4" s="484"/>
      <c r="VF4" s="484"/>
      <c r="VG4" s="484"/>
      <c r="VH4" s="484"/>
      <c r="VI4" s="484"/>
      <c r="VJ4" s="484"/>
      <c r="VK4" s="484"/>
      <c r="VL4" s="484"/>
      <c r="VM4" s="484"/>
      <c r="VN4" s="484"/>
      <c r="VO4" s="484"/>
      <c r="VP4" s="484"/>
      <c r="VQ4" s="484"/>
      <c r="VR4" s="484"/>
      <c r="VS4" s="484"/>
      <c r="VT4" s="484"/>
      <c r="VU4" s="484"/>
      <c r="VV4" s="484"/>
      <c r="VW4" s="484"/>
      <c r="VX4" s="484"/>
      <c r="VY4" s="484"/>
      <c r="VZ4" s="484"/>
      <c r="WA4" s="484"/>
      <c r="WB4" s="484"/>
      <c r="WC4" s="484"/>
      <c r="WD4" s="484"/>
      <c r="WE4" s="484"/>
      <c r="WF4" s="484"/>
      <c r="WG4" s="484"/>
      <c r="WH4" s="484"/>
      <c r="WI4" s="484"/>
      <c r="WJ4" s="484"/>
      <c r="WK4" s="484"/>
      <c r="WL4" s="484"/>
      <c r="WM4" s="484"/>
      <c r="WN4" s="484"/>
      <c r="WO4" s="484"/>
      <c r="WP4" s="484"/>
      <c r="WQ4" s="484"/>
      <c r="WR4" s="484"/>
      <c r="WS4" s="484"/>
      <c r="WT4" s="484"/>
      <c r="WU4" s="484"/>
      <c r="WV4" s="484"/>
      <c r="WW4" s="484"/>
      <c r="WX4" s="484"/>
      <c r="WY4" s="484"/>
      <c r="WZ4" s="484"/>
      <c r="XA4" s="484"/>
      <c r="XB4" s="484"/>
      <c r="XC4" s="484"/>
      <c r="XD4" s="484"/>
      <c r="XE4" s="484"/>
      <c r="XF4" s="484"/>
      <c r="XG4" s="484"/>
      <c r="XH4" s="484"/>
      <c r="XI4" s="484"/>
      <c r="XJ4" s="484"/>
      <c r="XK4" s="484"/>
      <c r="XL4" s="484"/>
      <c r="XM4" s="484"/>
      <c r="XN4" s="484"/>
      <c r="XO4" s="484"/>
      <c r="XP4" s="484"/>
      <c r="XQ4" s="484"/>
      <c r="XR4" s="484"/>
      <c r="XS4" s="484"/>
      <c r="XT4" s="484"/>
      <c r="XU4" s="484"/>
      <c r="XV4" s="484"/>
      <c r="XW4" s="484"/>
      <c r="XX4" s="484"/>
      <c r="XY4" s="484"/>
      <c r="XZ4" s="484"/>
      <c r="YA4" s="484"/>
      <c r="YB4" s="484"/>
      <c r="YC4" s="484"/>
      <c r="YD4" s="484"/>
      <c r="YE4" s="484"/>
      <c r="YF4" s="484"/>
      <c r="YG4" s="484"/>
      <c r="YH4" s="484"/>
      <c r="YI4" s="484"/>
      <c r="YJ4" s="484"/>
      <c r="YK4" s="484"/>
      <c r="YL4" s="484"/>
      <c r="YM4" s="484"/>
      <c r="YN4" s="484"/>
      <c r="YO4" s="484"/>
      <c r="YP4" s="484"/>
      <c r="YQ4" s="484"/>
      <c r="YR4" s="484"/>
      <c r="YS4" s="484"/>
      <c r="YT4" s="484"/>
      <c r="YU4" s="484"/>
      <c r="YV4" s="484"/>
      <c r="YW4" s="484"/>
      <c r="YX4" s="484"/>
      <c r="YY4" s="484"/>
      <c r="YZ4" s="484"/>
      <c r="ZA4" s="484"/>
      <c r="ZB4" s="484"/>
      <c r="ZC4" s="484"/>
      <c r="ZD4" s="484"/>
      <c r="ZE4" s="484"/>
      <c r="ZF4" s="484"/>
      <c r="ZG4" s="484"/>
      <c r="ZH4" s="484"/>
      <c r="ZI4" s="484"/>
      <c r="ZJ4" s="484"/>
      <c r="ZK4" s="484"/>
      <c r="ZL4" s="484"/>
      <c r="ZM4" s="484"/>
      <c r="ZN4" s="484"/>
      <c r="ZO4" s="484"/>
      <c r="ZP4" s="484"/>
      <c r="ZQ4" s="484"/>
      <c r="ZR4" s="484"/>
      <c r="ZS4" s="484"/>
      <c r="ZT4" s="484"/>
      <c r="ZU4" s="484"/>
      <c r="ZV4" s="484"/>
      <c r="ZW4" s="484"/>
      <c r="ZX4" s="484"/>
      <c r="ZY4" s="484"/>
      <c r="ZZ4" s="484"/>
      <c r="AAA4" s="484"/>
      <c r="AAB4" s="484"/>
      <c r="AAC4" s="484"/>
      <c r="AAD4" s="484"/>
      <c r="AAE4" s="484"/>
      <c r="AAF4" s="484"/>
      <c r="AAG4" s="484"/>
      <c r="AAH4" s="484"/>
      <c r="AAI4" s="484"/>
      <c r="AAJ4" s="484"/>
      <c r="AAK4" s="484"/>
      <c r="AAL4" s="484"/>
      <c r="AAM4" s="484"/>
      <c r="AAN4" s="484"/>
      <c r="AAO4" s="484"/>
      <c r="AAP4" s="484"/>
      <c r="AAQ4" s="484"/>
      <c r="AAR4" s="484"/>
      <c r="AAS4" s="484"/>
      <c r="AAT4" s="484"/>
      <c r="AAU4" s="484"/>
      <c r="AAV4" s="484"/>
      <c r="AAW4" s="484"/>
      <c r="AAX4" s="484"/>
      <c r="AAY4" s="484"/>
      <c r="AAZ4" s="484"/>
      <c r="ABA4" s="484"/>
      <c r="ABB4" s="484"/>
      <c r="ABC4" s="484"/>
      <c r="ABD4" s="484"/>
      <c r="ABE4" s="484"/>
      <c r="ABF4" s="484"/>
      <c r="ABG4" s="484"/>
      <c r="ABH4" s="484"/>
      <c r="ABI4" s="484"/>
      <c r="ABJ4" s="484"/>
      <c r="ABK4" s="484"/>
      <c r="ABL4" s="484"/>
      <c r="ABM4" s="484"/>
      <c r="ABN4" s="484"/>
      <c r="ABO4" s="484"/>
      <c r="ABP4" s="484"/>
      <c r="ABQ4" s="484"/>
      <c r="ABR4" s="484"/>
      <c r="ABS4" s="484"/>
      <c r="ABT4" s="484"/>
      <c r="ABU4" s="484"/>
      <c r="ABV4" s="484"/>
      <c r="ABW4" s="484"/>
      <c r="ABX4" s="484"/>
      <c r="ABY4" s="484"/>
      <c r="ABZ4" s="484"/>
      <c r="ACA4" s="484"/>
      <c r="ACB4" s="484"/>
      <c r="ACC4" s="484"/>
      <c r="ACD4" s="484"/>
      <c r="ACE4" s="484"/>
      <c r="ACF4" s="484"/>
      <c r="ACG4" s="484"/>
      <c r="ACH4" s="484"/>
      <c r="ACI4" s="484"/>
      <c r="ACJ4" s="484"/>
      <c r="ACK4" s="484"/>
      <c r="ACL4" s="484"/>
      <c r="ACM4" s="484"/>
      <c r="ACN4" s="484"/>
      <c r="ACO4" s="484"/>
      <c r="ACP4" s="484"/>
      <c r="ACQ4" s="484"/>
      <c r="ACR4" s="484"/>
      <c r="ACS4" s="484"/>
      <c r="ACT4" s="484"/>
      <c r="ACU4" s="484"/>
      <c r="ACV4" s="484"/>
      <c r="ACW4" s="484"/>
      <c r="ACX4" s="484"/>
      <c r="ACY4" s="484"/>
      <c r="ACZ4" s="484"/>
      <c r="ADA4" s="484"/>
      <c r="ADB4" s="484"/>
      <c r="ADC4" s="484"/>
      <c r="ADD4" s="484"/>
      <c r="ADE4" s="484"/>
      <c r="ADF4" s="484"/>
      <c r="ADG4" s="484"/>
      <c r="ADH4" s="484"/>
      <c r="ADI4" s="484"/>
      <c r="ADJ4" s="484"/>
      <c r="ADK4" s="484"/>
      <c r="ADL4" s="484"/>
      <c r="ADM4" s="484"/>
      <c r="ADN4" s="484"/>
      <c r="ADO4" s="484"/>
      <c r="ADP4" s="484"/>
      <c r="ADQ4" s="484"/>
      <c r="ADR4" s="484"/>
      <c r="ADS4" s="484"/>
      <c r="ADT4" s="484"/>
      <c r="ADU4" s="484"/>
      <c r="ADV4" s="484"/>
      <c r="ADW4" s="484"/>
      <c r="ADX4" s="484"/>
      <c r="ADY4" s="484"/>
      <c r="ADZ4" s="484"/>
      <c r="AEA4" s="484"/>
      <c r="AEB4" s="484"/>
      <c r="AEC4" s="484"/>
      <c r="AED4" s="484"/>
      <c r="AEE4" s="484"/>
      <c r="AEF4" s="484"/>
      <c r="AEG4" s="484"/>
      <c r="AEH4" s="484"/>
      <c r="AEI4" s="484"/>
      <c r="AEJ4" s="484"/>
      <c r="AEK4" s="484"/>
      <c r="AEL4" s="484"/>
      <c r="AEM4" s="484"/>
      <c r="AEN4" s="484"/>
      <c r="AEO4" s="484"/>
      <c r="AEP4" s="484"/>
      <c r="AEQ4" s="484"/>
      <c r="AER4" s="484"/>
      <c r="AES4" s="484"/>
      <c r="AET4" s="484"/>
      <c r="AEU4" s="484"/>
      <c r="AEV4" s="484"/>
      <c r="AEW4" s="484"/>
      <c r="AEX4" s="484"/>
      <c r="AEY4" s="484"/>
      <c r="AEZ4" s="484"/>
      <c r="AFA4" s="484"/>
      <c r="AFB4" s="484"/>
      <c r="AFC4" s="484"/>
      <c r="AFD4" s="484"/>
      <c r="AFE4" s="484"/>
      <c r="AFF4" s="484"/>
      <c r="AFG4" s="484"/>
      <c r="AFH4" s="484"/>
      <c r="AFI4" s="484"/>
      <c r="AFJ4" s="484"/>
      <c r="AFK4" s="484"/>
      <c r="AFL4" s="484"/>
      <c r="AFM4" s="484"/>
      <c r="AFN4" s="484"/>
      <c r="AFO4" s="484"/>
      <c r="AFP4" s="484"/>
      <c r="AFQ4" s="484"/>
      <c r="AFR4" s="484"/>
      <c r="AFS4" s="484"/>
      <c r="AFT4" s="484"/>
      <c r="AFU4" s="484"/>
      <c r="AFV4" s="484"/>
      <c r="AFW4" s="484"/>
      <c r="AFX4" s="484"/>
      <c r="AFY4" s="484"/>
      <c r="AFZ4" s="484"/>
      <c r="AGA4" s="484"/>
      <c r="AGB4" s="484"/>
      <c r="AGC4" s="484"/>
      <c r="AGD4" s="484"/>
      <c r="AGE4" s="484"/>
      <c r="AGF4" s="484"/>
      <c r="AGG4" s="484"/>
      <c r="AGH4" s="484"/>
      <c r="AGI4" s="484"/>
      <c r="AGJ4" s="484"/>
      <c r="AGK4" s="484"/>
      <c r="AGL4" s="484"/>
      <c r="AGM4" s="484"/>
      <c r="AGN4" s="484"/>
      <c r="AGO4" s="484"/>
      <c r="AGP4" s="484"/>
      <c r="AGQ4" s="484"/>
      <c r="AGR4" s="484"/>
      <c r="AGS4" s="484"/>
      <c r="AGT4" s="484"/>
      <c r="AGU4" s="484"/>
      <c r="AGV4" s="484"/>
      <c r="AGW4" s="484"/>
      <c r="AGX4" s="484"/>
      <c r="AGY4" s="484"/>
      <c r="AGZ4" s="484"/>
      <c r="AHA4" s="484"/>
      <c r="AHB4" s="484"/>
      <c r="AHC4" s="484"/>
      <c r="AHD4" s="484"/>
      <c r="AHE4" s="484"/>
      <c r="AHF4" s="484"/>
      <c r="AHG4" s="484"/>
      <c r="AHH4" s="484"/>
      <c r="AHI4" s="484"/>
      <c r="AHJ4" s="484"/>
      <c r="AHK4" s="484"/>
      <c r="AHL4" s="484"/>
      <c r="AHM4" s="484"/>
      <c r="AHN4" s="484"/>
      <c r="AHO4" s="484"/>
      <c r="AHP4" s="484"/>
      <c r="AHQ4" s="484"/>
      <c r="AHR4" s="484"/>
      <c r="AHS4" s="484"/>
      <c r="AHT4" s="484"/>
      <c r="AHU4" s="484"/>
      <c r="AHV4" s="484"/>
      <c r="AHW4" s="484"/>
      <c r="AHX4" s="484"/>
      <c r="AHY4" s="484"/>
      <c r="AHZ4" s="484"/>
      <c r="AIA4" s="484"/>
      <c r="AIB4" s="484"/>
      <c r="AIC4" s="484"/>
      <c r="AID4" s="484"/>
      <c r="AIE4" s="484"/>
      <c r="AIF4" s="484"/>
      <c r="AIG4" s="484"/>
      <c r="AIH4" s="484"/>
      <c r="AII4" s="484"/>
      <c r="AIJ4" s="484"/>
      <c r="AIK4" s="484"/>
      <c r="AIL4" s="484"/>
      <c r="AIM4" s="484"/>
      <c r="AIN4" s="484"/>
      <c r="AIO4" s="484"/>
      <c r="AIP4" s="484"/>
      <c r="AIQ4" s="484"/>
      <c r="AIR4" s="484"/>
      <c r="AIS4" s="484"/>
      <c r="AIT4" s="484"/>
      <c r="AIU4" s="484"/>
      <c r="AIV4" s="484"/>
      <c r="AIW4" s="484"/>
      <c r="AIX4" s="484"/>
      <c r="AIY4" s="484"/>
      <c r="AIZ4" s="484"/>
      <c r="AJA4" s="484"/>
      <c r="AJB4" s="484"/>
      <c r="AJC4" s="484"/>
      <c r="AJD4" s="484"/>
      <c r="AJE4" s="484"/>
      <c r="AJF4" s="484"/>
      <c r="AJG4" s="484"/>
      <c r="AJH4" s="484"/>
      <c r="AJI4" s="484"/>
      <c r="AJJ4" s="484"/>
      <c r="AJK4" s="484"/>
      <c r="AJL4" s="484"/>
      <c r="AJM4" s="484"/>
      <c r="AJN4" s="484"/>
      <c r="AJO4" s="484"/>
      <c r="AJP4" s="484"/>
      <c r="AJQ4" s="484"/>
      <c r="AJR4" s="484"/>
      <c r="AJS4" s="484"/>
      <c r="AJT4" s="484"/>
      <c r="AJU4" s="484"/>
      <c r="AJV4" s="484"/>
      <c r="AJW4" s="484"/>
      <c r="AJX4" s="484"/>
      <c r="AJY4" s="484"/>
      <c r="AJZ4" s="484"/>
      <c r="AKA4" s="484"/>
      <c r="AKB4" s="484"/>
      <c r="AKC4" s="484"/>
      <c r="AKD4" s="484"/>
      <c r="AKE4" s="484"/>
      <c r="AKF4" s="484"/>
      <c r="AKG4" s="484"/>
      <c r="AKH4" s="484"/>
      <c r="AKI4" s="484"/>
      <c r="AKJ4" s="484"/>
      <c r="AKK4" s="484"/>
      <c r="AKL4" s="484"/>
      <c r="AKM4" s="484"/>
      <c r="AKN4" s="484"/>
      <c r="AKO4" s="484"/>
      <c r="AKP4" s="484"/>
      <c r="AKQ4" s="484"/>
      <c r="AKR4" s="484"/>
      <c r="AKS4" s="484"/>
      <c r="AKT4" s="484"/>
      <c r="AKU4" s="484"/>
      <c r="AKV4" s="484"/>
      <c r="AKW4" s="484"/>
      <c r="AKX4" s="484"/>
      <c r="AKY4" s="484"/>
      <c r="AKZ4" s="484"/>
      <c r="ALA4" s="484"/>
      <c r="ALB4" s="484"/>
      <c r="ALC4" s="484"/>
      <c r="ALD4" s="484"/>
      <c r="ALE4" s="484"/>
      <c r="ALF4" s="484"/>
      <c r="ALG4" s="484"/>
      <c r="ALH4" s="484"/>
      <c r="ALI4" s="484"/>
      <c r="ALJ4" s="484"/>
      <c r="ALK4" s="484"/>
      <c r="ALL4" s="484"/>
      <c r="ALM4" s="484"/>
      <c r="ALN4" s="484"/>
      <c r="ALO4" s="484"/>
      <c r="ALP4" s="484"/>
    </row>
    <row r="5" spans="1:1004" s="481" customFormat="1" ht="21" x14ac:dyDescent="0.35">
      <c r="A5" s="566" t="s">
        <v>218</v>
      </c>
      <c r="B5" s="566"/>
      <c r="C5" s="566"/>
      <c r="D5" s="566"/>
      <c r="E5" s="566"/>
      <c r="F5" s="566"/>
      <c r="G5" s="433"/>
      <c r="H5" s="433"/>
      <c r="I5" s="433"/>
      <c r="J5" s="433"/>
      <c r="K5" s="433"/>
    </row>
    <row r="6" spans="1:1004" s="481" customFormat="1" x14ac:dyDescent="0.25">
      <c r="A6" s="567" t="s">
        <v>219</v>
      </c>
      <c r="B6" s="567"/>
      <c r="C6" s="567"/>
      <c r="D6" s="567"/>
      <c r="E6" s="567"/>
      <c r="F6" s="433" t="s">
        <v>215</v>
      </c>
      <c r="G6" s="434">
        <v>221105.67225336601</v>
      </c>
      <c r="H6" s="434">
        <v>4159588.5768449763</v>
      </c>
      <c r="I6" s="434">
        <v>469595.4238532614</v>
      </c>
      <c r="J6" s="434">
        <v>272355.62863304134</v>
      </c>
      <c r="K6" s="434">
        <v>150605.93841535438</v>
      </c>
    </row>
    <row r="7" spans="1:1004" s="481" customFormat="1" x14ac:dyDescent="0.25">
      <c r="A7" s="567" t="s">
        <v>220</v>
      </c>
      <c r="B7" s="567"/>
      <c r="C7" s="567"/>
      <c r="D7" s="567"/>
      <c r="E7" s="567"/>
      <c r="F7" s="433" t="s">
        <v>215</v>
      </c>
      <c r="G7" s="434">
        <v>270782.32870064309</v>
      </c>
      <c r="H7" s="434">
        <v>4313010.7366173221</v>
      </c>
      <c r="I7" s="434">
        <v>491820.12924084428</v>
      </c>
      <c r="J7" s="434">
        <v>329255.99722339021</v>
      </c>
      <c r="K7" s="434">
        <v>157775.19821780047</v>
      </c>
    </row>
    <row r="8" spans="1:1004" s="481" customFormat="1" x14ac:dyDescent="0.25">
      <c r="A8" s="567" t="s">
        <v>221</v>
      </c>
      <c r="B8" s="567"/>
      <c r="C8" s="567"/>
      <c r="D8" s="567"/>
      <c r="E8" s="567"/>
      <c r="F8" s="433" t="s">
        <v>215</v>
      </c>
      <c r="G8" s="434">
        <v>270782.32870064309</v>
      </c>
      <c r="H8" s="434">
        <v>4313010.7366173221</v>
      </c>
      <c r="I8" s="434">
        <v>491820.12924084428</v>
      </c>
      <c r="J8" s="434">
        <v>329255.99722339021</v>
      </c>
      <c r="K8" s="434">
        <v>157775.19821780047</v>
      </c>
    </row>
    <row r="9" spans="1:1004" s="481" customFormat="1" x14ac:dyDescent="0.25">
      <c r="A9" s="568" t="s">
        <v>222</v>
      </c>
      <c r="B9" s="568"/>
      <c r="C9" s="568"/>
      <c r="D9" s="568"/>
      <c r="E9" s="568"/>
      <c r="F9" s="435" t="s">
        <v>2</v>
      </c>
      <c r="G9" s="436">
        <f t="shared" ref="G9:K9" si="0">G7-G6</f>
        <v>49676.656447277084</v>
      </c>
      <c r="H9" s="436">
        <f t="shared" si="0"/>
        <v>153422.1597723458</v>
      </c>
      <c r="I9" s="436">
        <f t="shared" si="0"/>
        <v>22224.705387582886</v>
      </c>
      <c r="J9" s="436">
        <f t="shared" si="0"/>
        <v>56900.368590348866</v>
      </c>
      <c r="K9" s="436">
        <f t="shared" si="0"/>
        <v>7169.2598024460895</v>
      </c>
      <c r="M9" s="486"/>
    </row>
    <row r="10" spans="1:1004" s="481" customFormat="1" x14ac:dyDescent="0.25">
      <c r="A10" s="568" t="s">
        <v>223</v>
      </c>
      <c r="B10" s="568"/>
      <c r="C10" s="568"/>
      <c r="D10" s="568"/>
      <c r="E10" s="568"/>
      <c r="F10" s="435" t="s">
        <v>2</v>
      </c>
      <c r="G10" s="436">
        <f t="shared" ref="G10:K10" si="1">G8-G6</f>
        <v>49676.656447277084</v>
      </c>
      <c r="H10" s="436">
        <f t="shared" si="1"/>
        <v>153422.1597723458</v>
      </c>
      <c r="I10" s="436">
        <f t="shared" si="1"/>
        <v>22224.705387582886</v>
      </c>
      <c r="J10" s="436">
        <f t="shared" si="1"/>
        <v>56900.368590348866</v>
      </c>
      <c r="K10" s="436">
        <f t="shared" si="1"/>
        <v>7169.2598024460895</v>
      </c>
      <c r="L10" s="486"/>
      <c r="M10" s="486"/>
    </row>
    <row r="11" spans="1:1004" s="481" customFormat="1" ht="21.75" customHeight="1" x14ac:dyDescent="0.25">
      <c r="A11" s="559"/>
      <c r="B11" s="559"/>
      <c r="C11" s="559"/>
      <c r="D11" s="559"/>
      <c r="E11" s="559"/>
      <c r="F11" s="559"/>
      <c r="M11" s="486"/>
    </row>
    <row r="12" spans="1:1004" s="481" customFormat="1" ht="6.75" customHeight="1" x14ac:dyDescent="0.25">
      <c r="A12" s="559"/>
      <c r="B12" s="559"/>
      <c r="C12" s="559"/>
      <c r="D12" s="559"/>
      <c r="E12" s="559"/>
      <c r="F12" s="559"/>
      <c r="M12" s="486"/>
    </row>
    <row r="13" spans="1:1004" s="481" customFormat="1" x14ac:dyDescent="0.25">
      <c r="G13" s="486"/>
    </row>
    <row r="15" spans="1:1004" x14ac:dyDescent="0.25">
      <c r="G15" s="514"/>
      <c r="H15" s="514"/>
      <c r="I15" s="514"/>
      <c r="J15" s="514"/>
      <c r="K15" s="514"/>
    </row>
  </sheetData>
  <mergeCells count="10">
    <mergeCell ref="A11:F11"/>
    <mergeCell ref="A12:F12"/>
    <mergeCell ref="A3:F3"/>
    <mergeCell ref="A4:E4"/>
    <mergeCell ref="A5:F5"/>
    <mergeCell ref="A6:E6"/>
    <mergeCell ref="A7:E7"/>
    <mergeCell ref="A8:E8"/>
    <mergeCell ref="A9:E9"/>
    <mergeCell ref="A10:E10"/>
  </mergeCells>
  <pageMargins left="0.70866141732283472" right="0.70866141732283472" top="0.74803149606299213" bottom="0.74803149606299213" header="0.31496062992125984" footer="0.31496062992125984"/>
  <pageSetup paperSize="9" scale="91" orientation="landscape" r:id="rId1"/>
  <headerFooter>
    <oddFooter>&amp;C&amp;A&amp;RLapa &amp;P no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G90"/>
  <sheetViews>
    <sheetView view="pageBreakPreview" zoomScale="85" zoomScaleNormal="70" zoomScaleSheetLayoutView="85" workbookViewId="0">
      <selection activeCell="E16" sqref="E16"/>
    </sheetView>
  </sheetViews>
  <sheetFormatPr defaultColWidth="8.5" defaultRowHeight="12.75" outlineLevelCol="1" x14ac:dyDescent="0.25"/>
  <cols>
    <col min="1" max="1" width="53" style="3" customWidth="1"/>
    <col min="2" max="2" width="10.375" style="3" customWidth="1"/>
    <col min="3" max="3" width="10.625" style="3" customWidth="1"/>
    <col min="4" max="4" width="10.5" style="3" customWidth="1"/>
    <col min="5" max="13" width="8.5" style="3" customWidth="1"/>
    <col min="14" max="15" width="8.5" style="3" customWidth="1" outlineLevel="1"/>
    <col min="16" max="17" width="7.625" style="3" customWidth="1" outlineLevel="1"/>
    <col min="18" max="18" width="7.625" style="3" customWidth="1"/>
    <col min="19" max="22" width="7.625" style="3" hidden="1" customWidth="1" outlineLevel="1"/>
    <col min="23" max="23" width="7.625" style="3" customWidth="1" collapsed="1"/>
    <col min="24" max="26" width="7.875" style="3" hidden="1" customWidth="1" outlineLevel="1"/>
    <col min="27" max="27" width="8.375" style="3" hidden="1" customWidth="1" outlineLevel="1"/>
    <col min="28" max="28" width="8.375" style="3" customWidth="1" collapsed="1"/>
    <col min="29" max="33" width="8.375" style="3" customWidth="1"/>
    <col min="34" max="256" width="8.5" style="3"/>
    <col min="257" max="257" width="53" style="3" customWidth="1"/>
    <col min="258" max="258" width="10.375" style="3" customWidth="1"/>
    <col min="259" max="259" width="10.625" style="3" customWidth="1"/>
    <col min="260" max="260" width="10.5" style="3" customWidth="1"/>
    <col min="261" max="271" width="8.5" style="3" customWidth="1"/>
    <col min="272" max="279" width="7.625" style="3" customWidth="1"/>
    <col min="280" max="282" width="7.875" style="3" customWidth="1"/>
    <col min="283" max="289" width="8.375" style="3" customWidth="1"/>
    <col min="290" max="512" width="8.5" style="3"/>
    <col min="513" max="513" width="53" style="3" customWidth="1"/>
    <col min="514" max="514" width="10.375" style="3" customWidth="1"/>
    <col min="515" max="515" width="10.625" style="3" customWidth="1"/>
    <col min="516" max="516" width="10.5" style="3" customWidth="1"/>
    <col min="517" max="527" width="8.5" style="3" customWidth="1"/>
    <col min="528" max="535" width="7.625" style="3" customWidth="1"/>
    <col min="536" max="538" width="7.875" style="3" customWidth="1"/>
    <col min="539" max="545" width="8.375" style="3" customWidth="1"/>
    <col min="546" max="768" width="8.5" style="3"/>
    <col min="769" max="769" width="53" style="3" customWidth="1"/>
    <col min="770" max="770" width="10.375" style="3" customWidth="1"/>
    <col min="771" max="771" width="10.625" style="3" customWidth="1"/>
    <col min="772" max="772" width="10.5" style="3" customWidth="1"/>
    <col min="773" max="783" width="8.5" style="3" customWidth="1"/>
    <col min="784" max="791" width="7.625" style="3" customWidth="1"/>
    <col min="792" max="794" width="7.875" style="3" customWidth="1"/>
    <col min="795" max="801" width="8.375" style="3" customWidth="1"/>
    <col min="802" max="1024" width="8.5" style="3"/>
    <col min="1025" max="1025" width="53" style="3" customWidth="1"/>
    <col min="1026" max="1026" width="10.375" style="3" customWidth="1"/>
    <col min="1027" max="1027" width="10.625" style="3" customWidth="1"/>
    <col min="1028" max="1028" width="10.5" style="3" customWidth="1"/>
    <col min="1029" max="1039" width="8.5" style="3" customWidth="1"/>
    <col min="1040" max="1047" width="7.625" style="3" customWidth="1"/>
    <col min="1048" max="1050" width="7.875" style="3" customWidth="1"/>
    <col min="1051" max="1057" width="8.375" style="3" customWidth="1"/>
    <col min="1058" max="1280" width="8.5" style="3"/>
    <col min="1281" max="1281" width="53" style="3" customWidth="1"/>
    <col min="1282" max="1282" width="10.375" style="3" customWidth="1"/>
    <col min="1283" max="1283" width="10.625" style="3" customWidth="1"/>
    <col min="1284" max="1284" width="10.5" style="3" customWidth="1"/>
    <col min="1285" max="1295" width="8.5" style="3" customWidth="1"/>
    <col min="1296" max="1303" width="7.625" style="3" customWidth="1"/>
    <col min="1304" max="1306" width="7.875" style="3" customWidth="1"/>
    <col min="1307" max="1313" width="8.375" style="3" customWidth="1"/>
    <col min="1314" max="1536" width="8.5" style="3"/>
    <col min="1537" max="1537" width="53" style="3" customWidth="1"/>
    <col min="1538" max="1538" width="10.375" style="3" customWidth="1"/>
    <col min="1539" max="1539" width="10.625" style="3" customWidth="1"/>
    <col min="1540" max="1540" width="10.5" style="3" customWidth="1"/>
    <col min="1541" max="1551" width="8.5" style="3" customWidth="1"/>
    <col min="1552" max="1559" width="7.625" style="3" customWidth="1"/>
    <col min="1560" max="1562" width="7.875" style="3" customWidth="1"/>
    <col min="1563" max="1569" width="8.375" style="3" customWidth="1"/>
    <col min="1570" max="1792" width="8.5" style="3"/>
    <col min="1793" max="1793" width="53" style="3" customWidth="1"/>
    <col min="1794" max="1794" width="10.375" style="3" customWidth="1"/>
    <col min="1795" max="1795" width="10.625" style="3" customWidth="1"/>
    <col min="1796" max="1796" width="10.5" style="3" customWidth="1"/>
    <col min="1797" max="1807" width="8.5" style="3" customWidth="1"/>
    <col min="1808" max="1815" width="7.625" style="3" customWidth="1"/>
    <col min="1816" max="1818" width="7.875" style="3" customWidth="1"/>
    <col min="1819" max="1825" width="8.375" style="3" customWidth="1"/>
    <col min="1826" max="2048" width="8.5" style="3"/>
    <col min="2049" max="2049" width="53" style="3" customWidth="1"/>
    <col min="2050" max="2050" width="10.375" style="3" customWidth="1"/>
    <col min="2051" max="2051" width="10.625" style="3" customWidth="1"/>
    <col min="2052" max="2052" width="10.5" style="3" customWidth="1"/>
    <col min="2053" max="2063" width="8.5" style="3" customWidth="1"/>
    <col min="2064" max="2071" width="7.625" style="3" customWidth="1"/>
    <col min="2072" max="2074" width="7.875" style="3" customWidth="1"/>
    <col min="2075" max="2081" width="8.375" style="3" customWidth="1"/>
    <col min="2082" max="2304" width="8.5" style="3"/>
    <col min="2305" max="2305" width="53" style="3" customWidth="1"/>
    <col min="2306" max="2306" width="10.375" style="3" customWidth="1"/>
    <col min="2307" max="2307" width="10.625" style="3" customWidth="1"/>
    <col min="2308" max="2308" width="10.5" style="3" customWidth="1"/>
    <col min="2309" max="2319" width="8.5" style="3" customWidth="1"/>
    <col min="2320" max="2327" width="7.625" style="3" customWidth="1"/>
    <col min="2328" max="2330" width="7.875" style="3" customWidth="1"/>
    <col min="2331" max="2337" width="8.375" style="3" customWidth="1"/>
    <col min="2338" max="2560" width="8.5" style="3"/>
    <col min="2561" max="2561" width="53" style="3" customWidth="1"/>
    <col min="2562" max="2562" width="10.375" style="3" customWidth="1"/>
    <col min="2563" max="2563" width="10.625" style="3" customWidth="1"/>
    <col min="2564" max="2564" width="10.5" style="3" customWidth="1"/>
    <col min="2565" max="2575" width="8.5" style="3" customWidth="1"/>
    <col min="2576" max="2583" width="7.625" style="3" customWidth="1"/>
    <col min="2584" max="2586" width="7.875" style="3" customWidth="1"/>
    <col min="2587" max="2593" width="8.375" style="3" customWidth="1"/>
    <col min="2594" max="2816" width="8.5" style="3"/>
    <col min="2817" max="2817" width="53" style="3" customWidth="1"/>
    <col min="2818" max="2818" width="10.375" style="3" customWidth="1"/>
    <col min="2819" max="2819" width="10.625" style="3" customWidth="1"/>
    <col min="2820" max="2820" width="10.5" style="3" customWidth="1"/>
    <col min="2821" max="2831" width="8.5" style="3" customWidth="1"/>
    <col min="2832" max="2839" width="7.625" style="3" customWidth="1"/>
    <col min="2840" max="2842" width="7.875" style="3" customWidth="1"/>
    <col min="2843" max="2849" width="8.375" style="3" customWidth="1"/>
    <col min="2850" max="3072" width="8.5" style="3"/>
    <col min="3073" max="3073" width="53" style="3" customWidth="1"/>
    <col min="3074" max="3074" width="10.375" style="3" customWidth="1"/>
    <col min="3075" max="3075" width="10.625" style="3" customWidth="1"/>
    <col min="3076" max="3076" width="10.5" style="3" customWidth="1"/>
    <col min="3077" max="3087" width="8.5" style="3" customWidth="1"/>
    <col min="3088" max="3095" width="7.625" style="3" customWidth="1"/>
    <col min="3096" max="3098" width="7.875" style="3" customWidth="1"/>
    <col min="3099" max="3105" width="8.375" style="3" customWidth="1"/>
    <col min="3106" max="3328" width="8.5" style="3"/>
    <col min="3329" max="3329" width="53" style="3" customWidth="1"/>
    <col min="3330" max="3330" width="10.375" style="3" customWidth="1"/>
    <col min="3331" max="3331" width="10.625" style="3" customWidth="1"/>
    <col min="3332" max="3332" width="10.5" style="3" customWidth="1"/>
    <col min="3333" max="3343" width="8.5" style="3" customWidth="1"/>
    <col min="3344" max="3351" width="7.625" style="3" customWidth="1"/>
    <col min="3352" max="3354" width="7.875" style="3" customWidth="1"/>
    <col min="3355" max="3361" width="8.375" style="3" customWidth="1"/>
    <col min="3362" max="3584" width="8.5" style="3"/>
    <col min="3585" max="3585" width="53" style="3" customWidth="1"/>
    <col min="3586" max="3586" width="10.375" style="3" customWidth="1"/>
    <col min="3587" max="3587" width="10.625" style="3" customWidth="1"/>
    <col min="3588" max="3588" width="10.5" style="3" customWidth="1"/>
    <col min="3589" max="3599" width="8.5" style="3" customWidth="1"/>
    <col min="3600" max="3607" width="7.625" style="3" customWidth="1"/>
    <col min="3608" max="3610" width="7.875" style="3" customWidth="1"/>
    <col min="3611" max="3617" width="8.375" style="3" customWidth="1"/>
    <col min="3618" max="3840" width="8.5" style="3"/>
    <col min="3841" max="3841" width="53" style="3" customWidth="1"/>
    <col min="3842" max="3842" width="10.375" style="3" customWidth="1"/>
    <col min="3843" max="3843" width="10.625" style="3" customWidth="1"/>
    <col min="3844" max="3844" width="10.5" style="3" customWidth="1"/>
    <col min="3845" max="3855" width="8.5" style="3" customWidth="1"/>
    <col min="3856" max="3863" width="7.625" style="3" customWidth="1"/>
    <col min="3864" max="3866" width="7.875" style="3" customWidth="1"/>
    <col min="3867" max="3873" width="8.375" style="3" customWidth="1"/>
    <col min="3874" max="4096" width="8.5" style="3"/>
    <col min="4097" max="4097" width="53" style="3" customWidth="1"/>
    <col min="4098" max="4098" width="10.375" style="3" customWidth="1"/>
    <col min="4099" max="4099" width="10.625" style="3" customWidth="1"/>
    <col min="4100" max="4100" width="10.5" style="3" customWidth="1"/>
    <col min="4101" max="4111" width="8.5" style="3" customWidth="1"/>
    <col min="4112" max="4119" width="7.625" style="3" customWidth="1"/>
    <col min="4120" max="4122" width="7.875" style="3" customWidth="1"/>
    <col min="4123" max="4129" width="8.375" style="3" customWidth="1"/>
    <col min="4130" max="4352" width="8.5" style="3"/>
    <col min="4353" max="4353" width="53" style="3" customWidth="1"/>
    <col min="4354" max="4354" width="10.375" style="3" customWidth="1"/>
    <col min="4355" max="4355" width="10.625" style="3" customWidth="1"/>
    <col min="4356" max="4356" width="10.5" style="3" customWidth="1"/>
    <col min="4357" max="4367" width="8.5" style="3" customWidth="1"/>
    <col min="4368" max="4375" width="7.625" style="3" customWidth="1"/>
    <col min="4376" max="4378" width="7.875" style="3" customWidth="1"/>
    <col min="4379" max="4385" width="8.375" style="3" customWidth="1"/>
    <col min="4386" max="4608" width="8.5" style="3"/>
    <col min="4609" max="4609" width="53" style="3" customWidth="1"/>
    <col min="4610" max="4610" width="10.375" style="3" customWidth="1"/>
    <col min="4611" max="4611" width="10.625" style="3" customWidth="1"/>
    <col min="4612" max="4612" width="10.5" style="3" customWidth="1"/>
    <col min="4613" max="4623" width="8.5" style="3" customWidth="1"/>
    <col min="4624" max="4631" width="7.625" style="3" customWidth="1"/>
    <col min="4632" max="4634" width="7.875" style="3" customWidth="1"/>
    <col min="4635" max="4641" width="8.375" style="3" customWidth="1"/>
    <col min="4642" max="4864" width="8.5" style="3"/>
    <col min="4865" max="4865" width="53" style="3" customWidth="1"/>
    <col min="4866" max="4866" width="10.375" style="3" customWidth="1"/>
    <col min="4867" max="4867" width="10.625" style="3" customWidth="1"/>
    <col min="4868" max="4868" width="10.5" style="3" customWidth="1"/>
    <col min="4869" max="4879" width="8.5" style="3" customWidth="1"/>
    <col min="4880" max="4887" width="7.625" style="3" customWidth="1"/>
    <col min="4888" max="4890" width="7.875" style="3" customWidth="1"/>
    <col min="4891" max="4897" width="8.375" style="3" customWidth="1"/>
    <col min="4898" max="5120" width="8.5" style="3"/>
    <col min="5121" max="5121" width="53" style="3" customWidth="1"/>
    <col min="5122" max="5122" width="10.375" style="3" customWidth="1"/>
    <col min="5123" max="5123" width="10.625" style="3" customWidth="1"/>
    <col min="5124" max="5124" width="10.5" style="3" customWidth="1"/>
    <col min="5125" max="5135" width="8.5" style="3" customWidth="1"/>
    <col min="5136" max="5143" width="7.625" style="3" customWidth="1"/>
    <col min="5144" max="5146" width="7.875" style="3" customWidth="1"/>
    <col min="5147" max="5153" width="8.375" style="3" customWidth="1"/>
    <col min="5154" max="5376" width="8.5" style="3"/>
    <col min="5377" max="5377" width="53" style="3" customWidth="1"/>
    <col min="5378" max="5378" width="10.375" style="3" customWidth="1"/>
    <col min="5379" max="5379" width="10.625" style="3" customWidth="1"/>
    <col min="5380" max="5380" width="10.5" style="3" customWidth="1"/>
    <col min="5381" max="5391" width="8.5" style="3" customWidth="1"/>
    <col min="5392" max="5399" width="7.625" style="3" customWidth="1"/>
    <col min="5400" max="5402" width="7.875" style="3" customWidth="1"/>
    <col min="5403" max="5409" width="8.375" style="3" customWidth="1"/>
    <col min="5410" max="5632" width="8.5" style="3"/>
    <col min="5633" max="5633" width="53" style="3" customWidth="1"/>
    <col min="5634" max="5634" width="10.375" style="3" customWidth="1"/>
    <col min="5635" max="5635" width="10.625" style="3" customWidth="1"/>
    <col min="5636" max="5636" width="10.5" style="3" customWidth="1"/>
    <col min="5637" max="5647" width="8.5" style="3" customWidth="1"/>
    <col min="5648" max="5655" width="7.625" style="3" customWidth="1"/>
    <col min="5656" max="5658" width="7.875" style="3" customWidth="1"/>
    <col min="5659" max="5665" width="8.375" style="3" customWidth="1"/>
    <col min="5666" max="5888" width="8.5" style="3"/>
    <col min="5889" max="5889" width="53" style="3" customWidth="1"/>
    <col min="5890" max="5890" width="10.375" style="3" customWidth="1"/>
    <col min="5891" max="5891" width="10.625" style="3" customWidth="1"/>
    <col min="5892" max="5892" width="10.5" style="3" customWidth="1"/>
    <col min="5893" max="5903" width="8.5" style="3" customWidth="1"/>
    <col min="5904" max="5911" width="7.625" style="3" customWidth="1"/>
    <col min="5912" max="5914" width="7.875" style="3" customWidth="1"/>
    <col min="5915" max="5921" width="8.375" style="3" customWidth="1"/>
    <col min="5922" max="6144" width="8.5" style="3"/>
    <col min="6145" max="6145" width="53" style="3" customWidth="1"/>
    <col min="6146" max="6146" width="10.375" style="3" customWidth="1"/>
    <col min="6147" max="6147" width="10.625" style="3" customWidth="1"/>
    <col min="6148" max="6148" width="10.5" style="3" customWidth="1"/>
    <col min="6149" max="6159" width="8.5" style="3" customWidth="1"/>
    <col min="6160" max="6167" width="7.625" style="3" customWidth="1"/>
    <col min="6168" max="6170" width="7.875" style="3" customWidth="1"/>
    <col min="6171" max="6177" width="8.375" style="3" customWidth="1"/>
    <col min="6178" max="6400" width="8.5" style="3"/>
    <col min="6401" max="6401" width="53" style="3" customWidth="1"/>
    <col min="6402" max="6402" width="10.375" style="3" customWidth="1"/>
    <col min="6403" max="6403" width="10.625" style="3" customWidth="1"/>
    <col min="6404" max="6404" width="10.5" style="3" customWidth="1"/>
    <col min="6405" max="6415" width="8.5" style="3" customWidth="1"/>
    <col min="6416" max="6423" width="7.625" style="3" customWidth="1"/>
    <col min="6424" max="6426" width="7.875" style="3" customWidth="1"/>
    <col min="6427" max="6433" width="8.375" style="3" customWidth="1"/>
    <col min="6434" max="6656" width="8.5" style="3"/>
    <col min="6657" max="6657" width="53" style="3" customWidth="1"/>
    <col min="6658" max="6658" width="10.375" style="3" customWidth="1"/>
    <col min="6659" max="6659" width="10.625" style="3" customWidth="1"/>
    <col min="6660" max="6660" width="10.5" style="3" customWidth="1"/>
    <col min="6661" max="6671" width="8.5" style="3" customWidth="1"/>
    <col min="6672" max="6679" width="7.625" style="3" customWidth="1"/>
    <col min="6680" max="6682" width="7.875" style="3" customWidth="1"/>
    <col min="6683" max="6689" width="8.375" style="3" customWidth="1"/>
    <col min="6690" max="6912" width="8.5" style="3"/>
    <col min="6913" max="6913" width="53" style="3" customWidth="1"/>
    <col min="6914" max="6914" width="10.375" style="3" customWidth="1"/>
    <col min="6915" max="6915" width="10.625" style="3" customWidth="1"/>
    <col min="6916" max="6916" width="10.5" style="3" customWidth="1"/>
    <col min="6917" max="6927" width="8.5" style="3" customWidth="1"/>
    <col min="6928" max="6935" width="7.625" style="3" customWidth="1"/>
    <col min="6936" max="6938" width="7.875" style="3" customWidth="1"/>
    <col min="6939" max="6945" width="8.375" style="3" customWidth="1"/>
    <col min="6946" max="7168" width="8.5" style="3"/>
    <col min="7169" max="7169" width="53" style="3" customWidth="1"/>
    <col min="7170" max="7170" width="10.375" style="3" customWidth="1"/>
    <col min="7171" max="7171" width="10.625" style="3" customWidth="1"/>
    <col min="7172" max="7172" width="10.5" style="3" customWidth="1"/>
    <col min="7173" max="7183" width="8.5" style="3" customWidth="1"/>
    <col min="7184" max="7191" width="7.625" style="3" customWidth="1"/>
    <col min="7192" max="7194" width="7.875" style="3" customWidth="1"/>
    <col min="7195" max="7201" width="8.375" style="3" customWidth="1"/>
    <col min="7202" max="7424" width="8.5" style="3"/>
    <col min="7425" max="7425" width="53" style="3" customWidth="1"/>
    <col min="7426" max="7426" width="10.375" style="3" customWidth="1"/>
    <col min="7427" max="7427" width="10.625" style="3" customWidth="1"/>
    <col min="7428" max="7428" width="10.5" style="3" customWidth="1"/>
    <col min="7429" max="7439" width="8.5" style="3" customWidth="1"/>
    <col min="7440" max="7447" width="7.625" style="3" customWidth="1"/>
    <col min="7448" max="7450" width="7.875" style="3" customWidth="1"/>
    <col min="7451" max="7457" width="8.375" style="3" customWidth="1"/>
    <col min="7458" max="7680" width="8.5" style="3"/>
    <col min="7681" max="7681" width="53" style="3" customWidth="1"/>
    <col min="7682" max="7682" width="10.375" style="3" customWidth="1"/>
    <col min="7683" max="7683" width="10.625" style="3" customWidth="1"/>
    <col min="7684" max="7684" width="10.5" style="3" customWidth="1"/>
    <col min="7685" max="7695" width="8.5" style="3" customWidth="1"/>
    <col min="7696" max="7703" width="7.625" style="3" customWidth="1"/>
    <col min="7704" max="7706" width="7.875" style="3" customWidth="1"/>
    <col min="7707" max="7713" width="8.375" style="3" customWidth="1"/>
    <col min="7714" max="7936" width="8.5" style="3"/>
    <col min="7937" max="7937" width="53" style="3" customWidth="1"/>
    <col min="7938" max="7938" width="10.375" style="3" customWidth="1"/>
    <col min="7939" max="7939" width="10.625" style="3" customWidth="1"/>
    <col min="7940" max="7940" width="10.5" style="3" customWidth="1"/>
    <col min="7941" max="7951" width="8.5" style="3" customWidth="1"/>
    <col min="7952" max="7959" width="7.625" style="3" customWidth="1"/>
    <col min="7960" max="7962" width="7.875" style="3" customWidth="1"/>
    <col min="7963" max="7969" width="8.375" style="3" customWidth="1"/>
    <col min="7970" max="8192" width="8.5" style="3"/>
    <col min="8193" max="8193" width="53" style="3" customWidth="1"/>
    <col min="8194" max="8194" width="10.375" style="3" customWidth="1"/>
    <col min="8195" max="8195" width="10.625" style="3" customWidth="1"/>
    <col min="8196" max="8196" width="10.5" style="3" customWidth="1"/>
    <col min="8197" max="8207" width="8.5" style="3" customWidth="1"/>
    <col min="8208" max="8215" width="7.625" style="3" customWidth="1"/>
    <col min="8216" max="8218" width="7.875" style="3" customWidth="1"/>
    <col min="8219" max="8225" width="8.375" style="3" customWidth="1"/>
    <col min="8226" max="8448" width="8.5" style="3"/>
    <col min="8449" max="8449" width="53" style="3" customWidth="1"/>
    <col min="8450" max="8450" width="10.375" style="3" customWidth="1"/>
    <col min="8451" max="8451" width="10.625" style="3" customWidth="1"/>
    <col min="8452" max="8452" width="10.5" style="3" customWidth="1"/>
    <col min="8453" max="8463" width="8.5" style="3" customWidth="1"/>
    <col min="8464" max="8471" width="7.625" style="3" customWidth="1"/>
    <col min="8472" max="8474" width="7.875" style="3" customWidth="1"/>
    <col min="8475" max="8481" width="8.375" style="3" customWidth="1"/>
    <col min="8482" max="8704" width="8.5" style="3"/>
    <col min="8705" max="8705" width="53" style="3" customWidth="1"/>
    <col min="8706" max="8706" width="10.375" style="3" customWidth="1"/>
    <col min="8707" max="8707" width="10.625" style="3" customWidth="1"/>
    <col min="8708" max="8708" width="10.5" style="3" customWidth="1"/>
    <col min="8709" max="8719" width="8.5" style="3" customWidth="1"/>
    <col min="8720" max="8727" width="7.625" style="3" customWidth="1"/>
    <col min="8728" max="8730" width="7.875" style="3" customWidth="1"/>
    <col min="8731" max="8737" width="8.375" style="3" customWidth="1"/>
    <col min="8738" max="8960" width="8.5" style="3"/>
    <col min="8961" max="8961" width="53" style="3" customWidth="1"/>
    <col min="8962" max="8962" width="10.375" style="3" customWidth="1"/>
    <col min="8963" max="8963" width="10.625" style="3" customWidth="1"/>
    <col min="8964" max="8964" width="10.5" style="3" customWidth="1"/>
    <col min="8965" max="8975" width="8.5" style="3" customWidth="1"/>
    <col min="8976" max="8983" width="7.625" style="3" customWidth="1"/>
    <col min="8984" max="8986" width="7.875" style="3" customWidth="1"/>
    <col min="8987" max="8993" width="8.375" style="3" customWidth="1"/>
    <col min="8994" max="9216" width="8.5" style="3"/>
    <col min="9217" max="9217" width="53" style="3" customWidth="1"/>
    <col min="9218" max="9218" width="10.375" style="3" customWidth="1"/>
    <col min="9219" max="9219" width="10.625" style="3" customWidth="1"/>
    <col min="9220" max="9220" width="10.5" style="3" customWidth="1"/>
    <col min="9221" max="9231" width="8.5" style="3" customWidth="1"/>
    <col min="9232" max="9239" width="7.625" style="3" customWidth="1"/>
    <col min="9240" max="9242" width="7.875" style="3" customWidth="1"/>
    <col min="9243" max="9249" width="8.375" style="3" customWidth="1"/>
    <col min="9250" max="9472" width="8.5" style="3"/>
    <col min="9473" max="9473" width="53" style="3" customWidth="1"/>
    <col min="9474" max="9474" width="10.375" style="3" customWidth="1"/>
    <col min="9475" max="9475" width="10.625" style="3" customWidth="1"/>
    <col min="9476" max="9476" width="10.5" style="3" customWidth="1"/>
    <col min="9477" max="9487" width="8.5" style="3" customWidth="1"/>
    <col min="9488" max="9495" width="7.625" style="3" customWidth="1"/>
    <col min="9496" max="9498" width="7.875" style="3" customWidth="1"/>
    <col min="9499" max="9505" width="8.375" style="3" customWidth="1"/>
    <col min="9506" max="9728" width="8.5" style="3"/>
    <col min="9729" max="9729" width="53" style="3" customWidth="1"/>
    <col min="9730" max="9730" width="10.375" style="3" customWidth="1"/>
    <col min="9731" max="9731" width="10.625" style="3" customWidth="1"/>
    <col min="9732" max="9732" width="10.5" style="3" customWidth="1"/>
    <col min="9733" max="9743" width="8.5" style="3" customWidth="1"/>
    <col min="9744" max="9751" width="7.625" style="3" customWidth="1"/>
    <col min="9752" max="9754" width="7.875" style="3" customWidth="1"/>
    <col min="9755" max="9761" width="8.375" style="3" customWidth="1"/>
    <col min="9762" max="9984" width="8.5" style="3"/>
    <col min="9985" max="9985" width="53" style="3" customWidth="1"/>
    <col min="9986" max="9986" width="10.375" style="3" customWidth="1"/>
    <col min="9987" max="9987" width="10.625" style="3" customWidth="1"/>
    <col min="9988" max="9988" width="10.5" style="3" customWidth="1"/>
    <col min="9989" max="9999" width="8.5" style="3" customWidth="1"/>
    <col min="10000" max="10007" width="7.625" style="3" customWidth="1"/>
    <col min="10008" max="10010" width="7.875" style="3" customWidth="1"/>
    <col min="10011" max="10017" width="8.375" style="3" customWidth="1"/>
    <col min="10018" max="10240" width="8.5" style="3"/>
    <col min="10241" max="10241" width="53" style="3" customWidth="1"/>
    <col min="10242" max="10242" width="10.375" style="3" customWidth="1"/>
    <col min="10243" max="10243" width="10.625" style="3" customWidth="1"/>
    <col min="10244" max="10244" width="10.5" style="3" customWidth="1"/>
    <col min="10245" max="10255" width="8.5" style="3" customWidth="1"/>
    <col min="10256" max="10263" width="7.625" style="3" customWidth="1"/>
    <col min="10264" max="10266" width="7.875" style="3" customWidth="1"/>
    <col min="10267" max="10273" width="8.375" style="3" customWidth="1"/>
    <col min="10274" max="10496" width="8.5" style="3"/>
    <col min="10497" max="10497" width="53" style="3" customWidth="1"/>
    <col min="10498" max="10498" width="10.375" style="3" customWidth="1"/>
    <col min="10499" max="10499" width="10.625" style="3" customWidth="1"/>
    <col min="10500" max="10500" width="10.5" style="3" customWidth="1"/>
    <col min="10501" max="10511" width="8.5" style="3" customWidth="1"/>
    <col min="10512" max="10519" width="7.625" style="3" customWidth="1"/>
    <col min="10520" max="10522" width="7.875" style="3" customWidth="1"/>
    <col min="10523" max="10529" width="8.375" style="3" customWidth="1"/>
    <col min="10530" max="10752" width="8.5" style="3"/>
    <col min="10753" max="10753" width="53" style="3" customWidth="1"/>
    <col min="10754" max="10754" width="10.375" style="3" customWidth="1"/>
    <col min="10755" max="10755" width="10.625" style="3" customWidth="1"/>
    <col min="10756" max="10756" width="10.5" style="3" customWidth="1"/>
    <col min="10757" max="10767" width="8.5" style="3" customWidth="1"/>
    <col min="10768" max="10775" width="7.625" style="3" customWidth="1"/>
    <col min="10776" max="10778" width="7.875" style="3" customWidth="1"/>
    <col min="10779" max="10785" width="8.375" style="3" customWidth="1"/>
    <col min="10786" max="11008" width="8.5" style="3"/>
    <col min="11009" max="11009" width="53" style="3" customWidth="1"/>
    <col min="11010" max="11010" width="10.375" style="3" customWidth="1"/>
    <col min="11011" max="11011" width="10.625" style="3" customWidth="1"/>
    <col min="11012" max="11012" width="10.5" style="3" customWidth="1"/>
    <col min="11013" max="11023" width="8.5" style="3" customWidth="1"/>
    <col min="11024" max="11031" width="7.625" style="3" customWidth="1"/>
    <col min="11032" max="11034" width="7.875" style="3" customWidth="1"/>
    <col min="11035" max="11041" width="8.375" style="3" customWidth="1"/>
    <col min="11042" max="11264" width="8.5" style="3"/>
    <col min="11265" max="11265" width="53" style="3" customWidth="1"/>
    <col min="11266" max="11266" width="10.375" style="3" customWidth="1"/>
    <col min="11267" max="11267" width="10.625" style="3" customWidth="1"/>
    <col min="11268" max="11268" width="10.5" style="3" customWidth="1"/>
    <col min="11269" max="11279" width="8.5" style="3" customWidth="1"/>
    <col min="11280" max="11287" width="7.625" style="3" customWidth="1"/>
    <col min="11288" max="11290" width="7.875" style="3" customWidth="1"/>
    <col min="11291" max="11297" width="8.375" style="3" customWidth="1"/>
    <col min="11298" max="11520" width="8.5" style="3"/>
    <col min="11521" max="11521" width="53" style="3" customWidth="1"/>
    <col min="11522" max="11522" width="10.375" style="3" customWidth="1"/>
    <col min="11523" max="11523" width="10.625" style="3" customWidth="1"/>
    <col min="11524" max="11524" width="10.5" style="3" customWidth="1"/>
    <col min="11525" max="11535" width="8.5" style="3" customWidth="1"/>
    <col min="11536" max="11543" width="7.625" style="3" customWidth="1"/>
    <col min="11544" max="11546" width="7.875" style="3" customWidth="1"/>
    <col min="11547" max="11553" width="8.375" style="3" customWidth="1"/>
    <col min="11554" max="11776" width="8.5" style="3"/>
    <col min="11777" max="11777" width="53" style="3" customWidth="1"/>
    <col min="11778" max="11778" width="10.375" style="3" customWidth="1"/>
    <col min="11779" max="11779" width="10.625" style="3" customWidth="1"/>
    <col min="11780" max="11780" width="10.5" style="3" customWidth="1"/>
    <col min="11781" max="11791" width="8.5" style="3" customWidth="1"/>
    <col min="11792" max="11799" width="7.625" style="3" customWidth="1"/>
    <col min="11800" max="11802" width="7.875" style="3" customWidth="1"/>
    <col min="11803" max="11809" width="8.375" style="3" customWidth="1"/>
    <col min="11810" max="12032" width="8.5" style="3"/>
    <col min="12033" max="12033" width="53" style="3" customWidth="1"/>
    <col min="12034" max="12034" width="10.375" style="3" customWidth="1"/>
    <col min="12035" max="12035" width="10.625" style="3" customWidth="1"/>
    <col min="12036" max="12036" width="10.5" style="3" customWidth="1"/>
    <col min="12037" max="12047" width="8.5" style="3" customWidth="1"/>
    <col min="12048" max="12055" width="7.625" style="3" customWidth="1"/>
    <col min="12056" max="12058" width="7.875" style="3" customWidth="1"/>
    <col min="12059" max="12065" width="8.375" style="3" customWidth="1"/>
    <col min="12066" max="12288" width="8.5" style="3"/>
    <col min="12289" max="12289" width="53" style="3" customWidth="1"/>
    <col min="12290" max="12290" width="10.375" style="3" customWidth="1"/>
    <col min="12291" max="12291" width="10.625" style="3" customWidth="1"/>
    <col min="12292" max="12292" width="10.5" style="3" customWidth="1"/>
    <col min="12293" max="12303" width="8.5" style="3" customWidth="1"/>
    <col min="12304" max="12311" width="7.625" style="3" customWidth="1"/>
    <col min="12312" max="12314" width="7.875" style="3" customWidth="1"/>
    <col min="12315" max="12321" width="8.375" style="3" customWidth="1"/>
    <col min="12322" max="12544" width="8.5" style="3"/>
    <col min="12545" max="12545" width="53" style="3" customWidth="1"/>
    <col min="12546" max="12546" width="10.375" style="3" customWidth="1"/>
    <col min="12547" max="12547" width="10.625" style="3" customWidth="1"/>
    <col min="12548" max="12548" width="10.5" style="3" customWidth="1"/>
    <col min="12549" max="12559" width="8.5" style="3" customWidth="1"/>
    <col min="12560" max="12567" width="7.625" style="3" customWidth="1"/>
    <col min="12568" max="12570" width="7.875" style="3" customWidth="1"/>
    <col min="12571" max="12577" width="8.375" style="3" customWidth="1"/>
    <col min="12578" max="12800" width="8.5" style="3"/>
    <col min="12801" max="12801" width="53" style="3" customWidth="1"/>
    <col min="12802" max="12802" width="10.375" style="3" customWidth="1"/>
    <col min="12803" max="12803" width="10.625" style="3" customWidth="1"/>
    <col min="12804" max="12804" width="10.5" style="3" customWidth="1"/>
    <col min="12805" max="12815" width="8.5" style="3" customWidth="1"/>
    <col min="12816" max="12823" width="7.625" style="3" customWidth="1"/>
    <col min="12824" max="12826" width="7.875" style="3" customWidth="1"/>
    <col min="12827" max="12833" width="8.375" style="3" customWidth="1"/>
    <col min="12834" max="13056" width="8.5" style="3"/>
    <col min="13057" max="13057" width="53" style="3" customWidth="1"/>
    <col min="13058" max="13058" width="10.375" style="3" customWidth="1"/>
    <col min="13059" max="13059" width="10.625" style="3" customWidth="1"/>
    <col min="13060" max="13060" width="10.5" style="3" customWidth="1"/>
    <col min="13061" max="13071" width="8.5" style="3" customWidth="1"/>
    <col min="13072" max="13079" width="7.625" style="3" customWidth="1"/>
    <col min="13080" max="13082" width="7.875" style="3" customWidth="1"/>
    <col min="13083" max="13089" width="8.375" style="3" customWidth="1"/>
    <col min="13090" max="13312" width="8.5" style="3"/>
    <col min="13313" max="13313" width="53" style="3" customWidth="1"/>
    <col min="13314" max="13314" width="10.375" style="3" customWidth="1"/>
    <col min="13315" max="13315" width="10.625" style="3" customWidth="1"/>
    <col min="13316" max="13316" width="10.5" style="3" customWidth="1"/>
    <col min="13317" max="13327" width="8.5" style="3" customWidth="1"/>
    <col min="13328" max="13335" width="7.625" style="3" customWidth="1"/>
    <col min="13336" max="13338" width="7.875" style="3" customWidth="1"/>
    <col min="13339" max="13345" width="8.375" style="3" customWidth="1"/>
    <col min="13346" max="13568" width="8.5" style="3"/>
    <col min="13569" max="13569" width="53" style="3" customWidth="1"/>
    <col min="13570" max="13570" width="10.375" style="3" customWidth="1"/>
    <col min="13571" max="13571" width="10.625" style="3" customWidth="1"/>
    <col min="13572" max="13572" width="10.5" style="3" customWidth="1"/>
    <col min="13573" max="13583" width="8.5" style="3" customWidth="1"/>
    <col min="13584" max="13591" width="7.625" style="3" customWidth="1"/>
    <col min="13592" max="13594" width="7.875" style="3" customWidth="1"/>
    <col min="13595" max="13601" width="8.375" style="3" customWidth="1"/>
    <col min="13602" max="13824" width="8.5" style="3"/>
    <col min="13825" max="13825" width="53" style="3" customWidth="1"/>
    <col min="13826" max="13826" width="10.375" style="3" customWidth="1"/>
    <col min="13827" max="13827" width="10.625" style="3" customWidth="1"/>
    <col min="13828" max="13828" width="10.5" style="3" customWidth="1"/>
    <col min="13829" max="13839" width="8.5" style="3" customWidth="1"/>
    <col min="13840" max="13847" width="7.625" style="3" customWidth="1"/>
    <col min="13848" max="13850" width="7.875" style="3" customWidth="1"/>
    <col min="13851" max="13857" width="8.375" style="3" customWidth="1"/>
    <col min="13858" max="14080" width="8.5" style="3"/>
    <col min="14081" max="14081" width="53" style="3" customWidth="1"/>
    <col min="14082" max="14082" width="10.375" style="3" customWidth="1"/>
    <col min="14083" max="14083" width="10.625" style="3" customWidth="1"/>
    <col min="14084" max="14084" width="10.5" style="3" customWidth="1"/>
    <col min="14085" max="14095" width="8.5" style="3" customWidth="1"/>
    <col min="14096" max="14103" width="7.625" style="3" customWidth="1"/>
    <col min="14104" max="14106" width="7.875" style="3" customWidth="1"/>
    <col min="14107" max="14113" width="8.375" style="3" customWidth="1"/>
    <col min="14114" max="14336" width="8.5" style="3"/>
    <col min="14337" max="14337" width="53" style="3" customWidth="1"/>
    <col min="14338" max="14338" width="10.375" style="3" customWidth="1"/>
    <col min="14339" max="14339" width="10.625" style="3" customWidth="1"/>
    <col min="14340" max="14340" width="10.5" style="3" customWidth="1"/>
    <col min="14341" max="14351" width="8.5" style="3" customWidth="1"/>
    <col min="14352" max="14359" width="7.625" style="3" customWidth="1"/>
    <col min="14360" max="14362" width="7.875" style="3" customWidth="1"/>
    <col min="14363" max="14369" width="8.375" style="3" customWidth="1"/>
    <col min="14370" max="14592" width="8.5" style="3"/>
    <col min="14593" max="14593" width="53" style="3" customWidth="1"/>
    <col min="14594" max="14594" width="10.375" style="3" customWidth="1"/>
    <col min="14595" max="14595" width="10.625" style="3" customWidth="1"/>
    <col min="14596" max="14596" width="10.5" style="3" customWidth="1"/>
    <col min="14597" max="14607" width="8.5" style="3" customWidth="1"/>
    <col min="14608" max="14615" width="7.625" style="3" customWidth="1"/>
    <col min="14616" max="14618" width="7.875" style="3" customWidth="1"/>
    <col min="14619" max="14625" width="8.375" style="3" customWidth="1"/>
    <col min="14626" max="14848" width="8.5" style="3"/>
    <col min="14849" max="14849" width="53" style="3" customWidth="1"/>
    <col min="14850" max="14850" width="10.375" style="3" customWidth="1"/>
    <col min="14851" max="14851" width="10.625" style="3" customWidth="1"/>
    <col min="14852" max="14852" width="10.5" style="3" customWidth="1"/>
    <col min="14853" max="14863" width="8.5" style="3" customWidth="1"/>
    <col min="14864" max="14871" width="7.625" style="3" customWidth="1"/>
    <col min="14872" max="14874" width="7.875" style="3" customWidth="1"/>
    <col min="14875" max="14881" width="8.375" style="3" customWidth="1"/>
    <col min="14882" max="15104" width="8.5" style="3"/>
    <col min="15105" max="15105" width="53" style="3" customWidth="1"/>
    <col min="15106" max="15106" width="10.375" style="3" customWidth="1"/>
    <col min="15107" max="15107" width="10.625" style="3" customWidth="1"/>
    <col min="15108" max="15108" width="10.5" style="3" customWidth="1"/>
    <col min="15109" max="15119" width="8.5" style="3" customWidth="1"/>
    <col min="15120" max="15127" width="7.625" style="3" customWidth="1"/>
    <col min="15128" max="15130" width="7.875" style="3" customWidth="1"/>
    <col min="15131" max="15137" width="8.375" style="3" customWidth="1"/>
    <col min="15138" max="15360" width="8.5" style="3"/>
    <col min="15361" max="15361" width="53" style="3" customWidth="1"/>
    <col min="15362" max="15362" width="10.375" style="3" customWidth="1"/>
    <col min="15363" max="15363" width="10.625" style="3" customWidth="1"/>
    <col min="15364" max="15364" width="10.5" style="3" customWidth="1"/>
    <col min="15365" max="15375" width="8.5" style="3" customWidth="1"/>
    <col min="15376" max="15383" width="7.625" style="3" customWidth="1"/>
    <col min="15384" max="15386" width="7.875" style="3" customWidth="1"/>
    <col min="15387" max="15393" width="8.375" style="3" customWidth="1"/>
    <col min="15394" max="15616" width="8.5" style="3"/>
    <col min="15617" max="15617" width="53" style="3" customWidth="1"/>
    <col min="15618" max="15618" width="10.375" style="3" customWidth="1"/>
    <col min="15619" max="15619" width="10.625" style="3" customWidth="1"/>
    <col min="15620" max="15620" width="10.5" style="3" customWidth="1"/>
    <col min="15621" max="15631" width="8.5" style="3" customWidth="1"/>
    <col min="15632" max="15639" width="7.625" style="3" customWidth="1"/>
    <col min="15640" max="15642" width="7.875" style="3" customWidth="1"/>
    <col min="15643" max="15649" width="8.375" style="3" customWidth="1"/>
    <col min="15650" max="15872" width="8.5" style="3"/>
    <col min="15873" max="15873" width="53" style="3" customWidth="1"/>
    <col min="15874" max="15874" width="10.375" style="3" customWidth="1"/>
    <col min="15875" max="15875" width="10.625" style="3" customWidth="1"/>
    <col min="15876" max="15876" width="10.5" style="3" customWidth="1"/>
    <col min="15877" max="15887" width="8.5" style="3" customWidth="1"/>
    <col min="15888" max="15895" width="7.625" style="3" customWidth="1"/>
    <col min="15896" max="15898" width="7.875" style="3" customWidth="1"/>
    <col min="15899" max="15905" width="8.375" style="3" customWidth="1"/>
    <col min="15906" max="16128" width="8.5" style="3"/>
    <col min="16129" max="16129" width="53" style="3" customWidth="1"/>
    <col min="16130" max="16130" width="10.375" style="3" customWidth="1"/>
    <col min="16131" max="16131" width="10.625" style="3" customWidth="1"/>
    <col min="16132" max="16132" width="10.5" style="3" customWidth="1"/>
    <col min="16133" max="16143" width="8.5" style="3" customWidth="1"/>
    <col min="16144" max="16151" width="7.625" style="3" customWidth="1"/>
    <col min="16152" max="16154" width="7.875" style="3" customWidth="1"/>
    <col min="16155" max="16161" width="8.375" style="3" customWidth="1"/>
    <col min="16162" max="16384" width="8.5" style="3"/>
  </cols>
  <sheetData>
    <row r="1" spans="1:33" x14ac:dyDescent="0.25">
      <c r="A1" s="2"/>
    </row>
    <row r="2" spans="1:33" x14ac:dyDescent="0.25">
      <c r="A2" s="2"/>
      <c r="J2" s="4"/>
    </row>
    <row r="3" spans="1:33" ht="20.45" customHeight="1" x14ac:dyDescent="0.25">
      <c r="A3" s="303" t="s">
        <v>168</v>
      </c>
    </row>
    <row r="5" spans="1:33" s="8" customFormat="1" ht="15.75" x14ac:dyDescent="0.25">
      <c r="A5" s="5" t="s">
        <v>4</v>
      </c>
      <c r="B5" s="6"/>
      <c r="C5" s="6"/>
      <c r="D5" s="6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</row>
    <row r="6" spans="1:33" s="8" customFormat="1" ht="15.75" x14ac:dyDescent="0.25">
      <c r="A6" s="9"/>
      <c r="B6" s="10"/>
      <c r="C6" s="10">
        <v>0</v>
      </c>
      <c r="D6" s="10">
        <f t="shared" ref="D6:AG6" si="0">C6+1</f>
        <v>1</v>
      </c>
      <c r="E6" s="10">
        <f t="shared" si="0"/>
        <v>2</v>
      </c>
      <c r="F6" s="10">
        <f t="shared" si="0"/>
        <v>3</v>
      </c>
      <c r="G6" s="10">
        <f t="shared" si="0"/>
        <v>4</v>
      </c>
      <c r="H6" s="10">
        <f t="shared" si="0"/>
        <v>5</v>
      </c>
      <c r="I6" s="10">
        <f t="shared" si="0"/>
        <v>6</v>
      </c>
      <c r="J6" s="10">
        <f t="shared" si="0"/>
        <v>7</v>
      </c>
      <c r="K6" s="10">
        <f t="shared" si="0"/>
        <v>8</v>
      </c>
      <c r="L6" s="10">
        <f t="shared" si="0"/>
        <v>9</v>
      </c>
      <c r="M6" s="10">
        <f t="shared" si="0"/>
        <v>10</v>
      </c>
      <c r="N6" s="10">
        <f t="shared" si="0"/>
        <v>11</v>
      </c>
      <c r="O6" s="10">
        <f t="shared" si="0"/>
        <v>12</v>
      </c>
      <c r="P6" s="10">
        <f t="shared" si="0"/>
        <v>13</v>
      </c>
      <c r="Q6" s="10">
        <f t="shared" si="0"/>
        <v>14</v>
      </c>
      <c r="R6" s="10">
        <f t="shared" si="0"/>
        <v>15</v>
      </c>
      <c r="S6" s="10">
        <f t="shared" si="0"/>
        <v>16</v>
      </c>
      <c r="T6" s="10">
        <f t="shared" si="0"/>
        <v>17</v>
      </c>
      <c r="U6" s="10">
        <f t="shared" si="0"/>
        <v>18</v>
      </c>
      <c r="V6" s="10">
        <f t="shared" si="0"/>
        <v>19</v>
      </c>
      <c r="W6" s="10">
        <f t="shared" si="0"/>
        <v>20</v>
      </c>
      <c r="X6" s="10">
        <f t="shared" si="0"/>
        <v>21</v>
      </c>
      <c r="Y6" s="10">
        <f t="shared" si="0"/>
        <v>22</v>
      </c>
      <c r="Z6" s="10">
        <f t="shared" si="0"/>
        <v>23</v>
      </c>
      <c r="AA6" s="10">
        <f t="shared" si="0"/>
        <v>24</v>
      </c>
      <c r="AB6" s="10">
        <f t="shared" si="0"/>
        <v>25</v>
      </c>
      <c r="AC6" s="10">
        <f t="shared" si="0"/>
        <v>26</v>
      </c>
      <c r="AD6" s="10">
        <f t="shared" si="0"/>
        <v>27</v>
      </c>
      <c r="AE6" s="10">
        <f t="shared" si="0"/>
        <v>28</v>
      </c>
      <c r="AF6" s="10">
        <f t="shared" si="0"/>
        <v>29</v>
      </c>
      <c r="AG6" s="10">
        <f t="shared" si="0"/>
        <v>30</v>
      </c>
    </row>
    <row r="7" spans="1:33" s="12" customFormat="1" ht="17.45" customHeight="1" x14ac:dyDescent="0.25">
      <c r="A7" s="11"/>
      <c r="B7" s="401" t="s">
        <v>5</v>
      </c>
      <c r="C7" s="402">
        <v>1</v>
      </c>
      <c r="D7" s="402">
        <f t="shared" ref="D7:W7" si="1">1/(1+$B$22)^D6</f>
        <v>0.95238095238095233</v>
      </c>
      <c r="E7" s="402">
        <f t="shared" si="1"/>
        <v>0.90702947845804982</v>
      </c>
      <c r="F7" s="402">
        <f t="shared" si="1"/>
        <v>0.86383759853147601</v>
      </c>
      <c r="G7" s="402">
        <f t="shared" si="1"/>
        <v>0.82270247479188197</v>
      </c>
      <c r="H7" s="402">
        <f t="shared" si="1"/>
        <v>0.78352616646845896</v>
      </c>
      <c r="I7" s="402">
        <f t="shared" si="1"/>
        <v>0.74621539663662761</v>
      </c>
      <c r="J7" s="402">
        <f t="shared" si="1"/>
        <v>0.71068133013012147</v>
      </c>
      <c r="K7" s="402">
        <f t="shared" si="1"/>
        <v>0.67683936202868722</v>
      </c>
      <c r="L7" s="402">
        <f t="shared" si="1"/>
        <v>0.64460891621779726</v>
      </c>
      <c r="M7" s="402">
        <f t="shared" si="1"/>
        <v>0.61391325354075932</v>
      </c>
      <c r="N7" s="402">
        <f t="shared" si="1"/>
        <v>0.5846792890864374</v>
      </c>
      <c r="O7" s="402">
        <f t="shared" si="1"/>
        <v>0.5568374181775595</v>
      </c>
      <c r="P7" s="402">
        <f t="shared" si="1"/>
        <v>0.53032135064529462</v>
      </c>
      <c r="Q7" s="402">
        <f t="shared" si="1"/>
        <v>0.50506795299551888</v>
      </c>
      <c r="R7" s="402">
        <f t="shared" si="1"/>
        <v>0.48101709809097021</v>
      </c>
      <c r="S7" s="402">
        <f t="shared" si="1"/>
        <v>0.45811152199140021</v>
      </c>
      <c r="T7" s="402">
        <f t="shared" si="1"/>
        <v>0.43629668761085727</v>
      </c>
      <c r="U7" s="402">
        <f t="shared" si="1"/>
        <v>0.41552065486748313</v>
      </c>
      <c r="V7" s="402">
        <f t="shared" si="1"/>
        <v>0.39573395701665059</v>
      </c>
      <c r="W7" s="402">
        <f t="shared" si="1"/>
        <v>0.37688948287300061</v>
      </c>
      <c r="X7" s="402">
        <f>1/(1+$B$22)^X6</f>
        <v>0.35894236464095297</v>
      </c>
      <c r="Y7" s="402">
        <f t="shared" ref="Y7:AD7" si="2">1/(1+$B$22)^Y6</f>
        <v>0.3418498710866219</v>
      </c>
      <c r="Z7" s="402">
        <f t="shared" si="2"/>
        <v>0.32557130579678267</v>
      </c>
      <c r="AA7" s="402">
        <f t="shared" si="2"/>
        <v>0.31006791028265024</v>
      </c>
      <c r="AB7" s="402">
        <f t="shared" si="2"/>
        <v>0.29530277169776209</v>
      </c>
      <c r="AC7" s="402">
        <f t="shared" si="2"/>
        <v>0.28124073495024959</v>
      </c>
      <c r="AD7" s="402">
        <f t="shared" si="2"/>
        <v>0.2678483190002377</v>
      </c>
      <c r="AE7" s="402">
        <f>1/(1+$B$22)^AE6</f>
        <v>0.25509363714308358</v>
      </c>
      <c r="AF7" s="402">
        <f>1/(1+$B$22)^AF6</f>
        <v>0.24294632108865097</v>
      </c>
      <c r="AG7" s="402">
        <f>1/(1+$B$22)^AG6</f>
        <v>0.23137744865585813</v>
      </c>
    </row>
    <row r="8" spans="1:33" s="16" customFormat="1" ht="18.75" customHeight="1" x14ac:dyDescent="0.25">
      <c r="A8" s="5" t="s">
        <v>6</v>
      </c>
      <c r="B8" s="13"/>
      <c r="C8" s="14"/>
      <c r="D8" s="14"/>
      <c r="E8" s="14"/>
      <c r="F8" s="14"/>
      <c r="G8" s="14"/>
      <c r="H8" s="14"/>
      <c r="I8" s="14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</row>
    <row r="9" spans="1:33" s="8" customFormat="1" ht="18" customHeight="1" x14ac:dyDescent="0.25">
      <c r="A9" s="17" t="s">
        <v>7</v>
      </c>
      <c r="B9" s="403">
        <v>1</v>
      </c>
      <c r="C9" s="14"/>
      <c r="D9" s="20">
        <f>IF(B9=1,'4_prioritate_3_pielikums_3d'!F9,0)</f>
        <v>1572.32</v>
      </c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</row>
    <row r="10" spans="1:33" s="8" customFormat="1" ht="18" customHeight="1" x14ac:dyDescent="0.25">
      <c r="A10" s="17" t="s">
        <v>166</v>
      </c>
      <c r="B10" s="18"/>
      <c r="C10" s="14"/>
      <c r="D10" s="20">
        <f>+'4.Prioritāte-5_Pielikums_1d'!D13/1000+C74/1000</f>
        <v>160.53842877999995</v>
      </c>
      <c r="E10" s="20">
        <f>+'4.Prioritāte-5_Pielikums_1d'!E13/1000+D74/1000</f>
        <v>347.38532574181812</v>
      </c>
      <c r="F10" s="20">
        <f>+'4.Prioritāte-5_Pielikums_1d'!F13/1000+E74/1000</f>
        <v>534.23222270363635</v>
      </c>
      <c r="G10" s="20">
        <f>+'4.Prioritāte-5_Pielikums_1d'!G13/1000+F74/1000</f>
        <v>721.07911966545441</v>
      </c>
      <c r="H10" s="20">
        <f>+'4.Prioritāte-5_Pielikums_1d'!H13/1000+G74/1000</f>
        <v>907.9260166272727</v>
      </c>
      <c r="I10" s="20">
        <f>+'4.Prioritāte-5_Pielikums_1d'!I13/1000+H74/1000</f>
        <v>1094.7729135890909</v>
      </c>
      <c r="J10" s="20">
        <f>+'4.Prioritāte-5_Pielikums_1d'!J13/1000+I74/1000</f>
        <v>1281.6198105509091</v>
      </c>
      <c r="K10" s="20">
        <f>+'4.Prioritāte-5_Pielikums_1d'!K13/1000+J74/1000</f>
        <v>1468.466707512727</v>
      </c>
      <c r="L10" s="20">
        <f>+'4.Prioritāte-5_Pielikums_1d'!L13/1000+K74/1000</f>
        <v>1655.3136044745452</v>
      </c>
      <c r="M10" s="20">
        <f>+'4.Prioritāte-5_Pielikums_1d'!M13/1000+L74/1000</f>
        <v>1842.1605014363633</v>
      </c>
      <c r="N10" s="20">
        <f>+'4.Prioritāte-5_Pielikums_1d'!N13/1000+M74/1000</f>
        <v>2029.0073983981815</v>
      </c>
      <c r="O10" s="20">
        <f>+'4.Prioritāte-5_Pielikums_1d'!O13/1000+N74/1000</f>
        <v>2215.8542953599999</v>
      </c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</row>
    <row r="11" spans="1:33" s="8" customFormat="1" ht="18" customHeight="1" x14ac:dyDescent="0.25">
      <c r="A11" s="17"/>
      <c r="B11" s="18"/>
      <c r="C11" s="14"/>
      <c r="D11" s="20">
        <v>0</v>
      </c>
      <c r="E11" s="21">
        <f t="shared" ref="E11:T12" si="3">+D11</f>
        <v>0</v>
      </c>
      <c r="F11" s="21">
        <f t="shared" si="3"/>
        <v>0</v>
      </c>
      <c r="G11" s="21">
        <f t="shared" si="3"/>
        <v>0</v>
      </c>
      <c r="H11" s="21">
        <f t="shared" si="3"/>
        <v>0</v>
      </c>
      <c r="I11" s="21">
        <f t="shared" si="3"/>
        <v>0</v>
      </c>
      <c r="J11" s="21">
        <f t="shared" si="3"/>
        <v>0</v>
      </c>
      <c r="K11" s="21">
        <f t="shared" si="3"/>
        <v>0</v>
      </c>
      <c r="L11" s="21">
        <f t="shared" si="3"/>
        <v>0</v>
      </c>
      <c r="M11" s="21">
        <f t="shared" si="3"/>
        <v>0</v>
      </c>
      <c r="N11" s="21">
        <f t="shared" si="3"/>
        <v>0</v>
      </c>
      <c r="O11" s="21">
        <f t="shared" si="3"/>
        <v>0</v>
      </c>
      <c r="P11" s="21">
        <f t="shared" si="3"/>
        <v>0</v>
      </c>
      <c r="Q11" s="21">
        <f t="shared" si="3"/>
        <v>0</v>
      </c>
      <c r="R11" s="21">
        <f t="shared" si="3"/>
        <v>0</v>
      </c>
      <c r="S11" s="21">
        <f t="shared" si="3"/>
        <v>0</v>
      </c>
      <c r="T11" s="21">
        <f t="shared" si="3"/>
        <v>0</v>
      </c>
      <c r="U11" s="21">
        <f t="shared" ref="U11:AE12" si="4">+T11</f>
        <v>0</v>
      </c>
      <c r="V11" s="21">
        <f t="shared" si="4"/>
        <v>0</v>
      </c>
      <c r="W11" s="21">
        <f t="shared" si="4"/>
        <v>0</v>
      </c>
      <c r="X11" s="21">
        <f t="shared" si="4"/>
        <v>0</v>
      </c>
      <c r="Y11" s="21">
        <f t="shared" si="4"/>
        <v>0</v>
      </c>
      <c r="Z11" s="21">
        <f t="shared" si="4"/>
        <v>0</v>
      </c>
      <c r="AA11" s="21">
        <f t="shared" si="4"/>
        <v>0</v>
      </c>
      <c r="AB11" s="21">
        <f t="shared" si="4"/>
        <v>0</v>
      </c>
      <c r="AC11" s="21">
        <f t="shared" si="4"/>
        <v>0</v>
      </c>
      <c r="AD11" s="21">
        <f t="shared" si="4"/>
        <v>0</v>
      </c>
      <c r="AE11" s="21">
        <f t="shared" si="4"/>
        <v>0</v>
      </c>
      <c r="AF11" s="21">
        <f>+AE11</f>
        <v>0</v>
      </c>
      <c r="AG11" s="21">
        <f>+AF11</f>
        <v>0</v>
      </c>
    </row>
    <row r="12" spans="1:33" s="8" customFormat="1" ht="18" customHeight="1" x14ac:dyDescent="0.25">
      <c r="A12" s="17"/>
      <c r="B12" s="18"/>
      <c r="C12" s="14"/>
      <c r="D12" s="20">
        <v>0</v>
      </c>
      <c r="E12" s="21">
        <f t="shared" si="3"/>
        <v>0</v>
      </c>
      <c r="F12" s="21">
        <f t="shared" si="3"/>
        <v>0</v>
      </c>
      <c r="G12" s="21">
        <f t="shared" si="3"/>
        <v>0</v>
      </c>
      <c r="H12" s="21">
        <f t="shared" si="3"/>
        <v>0</v>
      </c>
      <c r="I12" s="21">
        <f t="shared" si="3"/>
        <v>0</v>
      </c>
      <c r="J12" s="21">
        <f t="shared" si="3"/>
        <v>0</v>
      </c>
      <c r="K12" s="21">
        <f t="shared" si="3"/>
        <v>0</v>
      </c>
      <c r="L12" s="21">
        <f t="shared" si="3"/>
        <v>0</v>
      </c>
      <c r="M12" s="21">
        <f t="shared" si="3"/>
        <v>0</v>
      </c>
      <c r="N12" s="21">
        <f t="shared" si="3"/>
        <v>0</v>
      </c>
      <c r="O12" s="21">
        <f t="shared" si="3"/>
        <v>0</v>
      </c>
      <c r="P12" s="21">
        <f t="shared" si="3"/>
        <v>0</v>
      </c>
      <c r="Q12" s="21">
        <f t="shared" si="3"/>
        <v>0</v>
      </c>
      <c r="R12" s="21">
        <f t="shared" si="3"/>
        <v>0</v>
      </c>
      <c r="S12" s="21">
        <f t="shared" si="3"/>
        <v>0</v>
      </c>
      <c r="T12" s="21">
        <f t="shared" si="3"/>
        <v>0</v>
      </c>
      <c r="U12" s="21">
        <f t="shared" si="4"/>
        <v>0</v>
      </c>
      <c r="V12" s="21">
        <f t="shared" si="4"/>
        <v>0</v>
      </c>
      <c r="W12" s="21">
        <f t="shared" si="4"/>
        <v>0</v>
      </c>
      <c r="X12" s="21">
        <f t="shared" si="4"/>
        <v>0</v>
      </c>
      <c r="Y12" s="21">
        <f t="shared" si="4"/>
        <v>0</v>
      </c>
      <c r="Z12" s="21">
        <f t="shared" si="4"/>
        <v>0</v>
      </c>
      <c r="AA12" s="21">
        <f t="shared" si="4"/>
        <v>0</v>
      </c>
      <c r="AB12" s="21">
        <f t="shared" si="4"/>
        <v>0</v>
      </c>
      <c r="AC12" s="21">
        <f t="shared" si="4"/>
        <v>0</v>
      </c>
      <c r="AD12" s="21">
        <f t="shared" si="4"/>
        <v>0</v>
      </c>
      <c r="AE12" s="21">
        <f t="shared" si="4"/>
        <v>0</v>
      </c>
      <c r="AF12" s="21">
        <f>+AE12</f>
        <v>0</v>
      </c>
      <c r="AG12" s="21">
        <f>+AF12</f>
        <v>0</v>
      </c>
    </row>
    <row r="13" spans="1:33" s="24" customFormat="1" ht="18" customHeight="1" x14ac:dyDescent="0.25">
      <c r="A13" s="13" t="s">
        <v>8</v>
      </c>
      <c r="B13" s="22">
        <f>SUM(C13:X13)</f>
        <v>15830.676344839998</v>
      </c>
      <c r="C13" s="23">
        <f>SUM(C9:C12)</f>
        <v>0</v>
      </c>
      <c r="D13" s="23">
        <f t="shared" ref="D13:AE13" si="5">SUM(D9:D12)</f>
        <v>1732.8584287799999</v>
      </c>
      <c r="E13" s="23">
        <f t="shared" si="5"/>
        <v>347.38532574181812</v>
      </c>
      <c r="F13" s="23">
        <f t="shared" si="5"/>
        <v>534.23222270363635</v>
      </c>
      <c r="G13" s="23">
        <f>SUM(G9:G12)</f>
        <v>721.07911966545441</v>
      </c>
      <c r="H13" s="23">
        <f t="shared" si="5"/>
        <v>907.9260166272727</v>
      </c>
      <c r="I13" s="23">
        <f t="shared" si="5"/>
        <v>1094.7729135890909</v>
      </c>
      <c r="J13" s="23">
        <f t="shared" si="5"/>
        <v>1281.6198105509091</v>
      </c>
      <c r="K13" s="23">
        <f t="shared" si="5"/>
        <v>1468.466707512727</v>
      </c>
      <c r="L13" s="23">
        <f t="shared" si="5"/>
        <v>1655.3136044745452</v>
      </c>
      <c r="M13" s="23">
        <f t="shared" si="5"/>
        <v>1842.1605014363633</v>
      </c>
      <c r="N13" s="23">
        <f t="shared" si="5"/>
        <v>2029.0073983981815</v>
      </c>
      <c r="O13" s="23">
        <f t="shared" si="5"/>
        <v>2215.8542953599999</v>
      </c>
      <c r="P13" s="23">
        <f t="shared" si="5"/>
        <v>0</v>
      </c>
      <c r="Q13" s="23">
        <f t="shared" si="5"/>
        <v>0</v>
      </c>
      <c r="R13" s="23">
        <f t="shared" si="5"/>
        <v>0</v>
      </c>
      <c r="S13" s="23">
        <f t="shared" si="5"/>
        <v>0</v>
      </c>
      <c r="T13" s="23">
        <f t="shared" si="5"/>
        <v>0</v>
      </c>
      <c r="U13" s="23">
        <f t="shared" si="5"/>
        <v>0</v>
      </c>
      <c r="V13" s="23">
        <f t="shared" si="5"/>
        <v>0</v>
      </c>
      <c r="W13" s="23">
        <f t="shared" si="5"/>
        <v>0</v>
      </c>
      <c r="X13" s="23">
        <f t="shared" si="5"/>
        <v>0</v>
      </c>
      <c r="Y13" s="23">
        <f t="shared" si="5"/>
        <v>0</v>
      </c>
      <c r="Z13" s="23">
        <f t="shared" si="5"/>
        <v>0</v>
      </c>
      <c r="AA13" s="23">
        <f t="shared" si="5"/>
        <v>0</v>
      </c>
      <c r="AB13" s="23">
        <f t="shared" si="5"/>
        <v>0</v>
      </c>
      <c r="AC13" s="23">
        <f t="shared" si="5"/>
        <v>0</v>
      </c>
      <c r="AD13" s="23">
        <f t="shared" si="5"/>
        <v>0</v>
      </c>
      <c r="AE13" s="23">
        <f t="shared" si="5"/>
        <v>0</v>
      </c>
      <c r="AF13" s="23">
        <f>SUM(AF9:AF12)</f>
        <v>0</v>
      </c>
      <c r="AG13" s="23">
        <f>SUM(AG9:AG12)</f>
        <v>0</v>
      </c>
    </row>
    <row r="14" spans="1:33" s="16" customFormat="1" ht="8.25" customHeight="1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</row>
    <row r="15" spans="1:33" s="16" customFormat="1" ht="18" customHeight="1" x14ac:dyDescent="0.25">
      <c r="A15" s="5" t="s">
        <v>9</v>
      </c>
      <c r="B15" s="22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</row>
    <row r="16" spans="1:33" s="8" customFormat="1" ht="18" customHeight="1" x14ac:dyDescent="0.25">
      <c r="A16" s="17" t="s">
        <v>10</v>
      </c>
      <c r="B16" s="28"/>
      <c r="C16" s="20">
        <f>+'4_prioritate_3_pielikums_3d'!C61/1000</f>
        <v>538.88300000000004</v>
      </c>
      <c r="D16" s="29"/>
      <c r="E16" s="29"/>
      <c r="F16" s="29"/>
      <c r="G16" s="29"/>
      <c r="H16" s="29"/>
      <c r="I16" s="29"/>
      <c r="J16" s="29"/>
      <c r="K16" s="29"/>
      <c r="L16" s="29"/>
      <c r="M16" s="29">
        <f>+'4_prioritate_3_pielikums_1d'!J18/1000</f>
        <v>346.66</v>
      </c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</row>
    <row r="17" spans="1:33" s="8" customFormat="1" ht="18" hidden="1" customHeight="1" x14ac:dyDescent="0.25">
      <c r="A17" s="17" t="s">
        <v>11</v>
      </c>
      <c r="B17" s="28"/>
      <c r="C17" s="20"/>
      <c r="D17" s="20">
        <v>0</v>
      </c>
      <c r="E17" s="21">
        <f t="shared" ref="E17:T18" si="6">+D17</f>
        <v>0</v>
      </c>
      <c r="F17" s="21">
        <f t="shared" si="6"/>
        <v>0</v>
      </c>
      <c r="G17" s="21">
        <f t="shared" si="6"/>
        <v>0</v>
      </c>
      <c r="H17" s="21">
        <f t="shared" si="6"/>
        <v>0</v>
      </c>
      <c r="I17" s="21">
        <f t="shared" si="6"/>
        <v>0</v>
      </c>
      <c r="J17" s="21">
        <f t="shared" si="6"/>
        <v>0</v>
      </c>
      <c r="K17" s="21">
        <f t="shared" si="6"/>
        <v>0</v>
      </c>
      <c r="L17" s="21">
        <f t="shared" si="6"/>
        <v>0</v>
      </c>
      <c r="M17" s="21">
        <f t="shared" si="6"/>
        <v>0</v>
      </c>
      <c r="N17" s="21">
        <f t="shared" si="6"/>
        <v>0</v>
      </c>
      <c r="O17" s="21">
        <f t="shared" si="6"/>
        <v>0</v>
      </c>
      <c r="P17" s="21">
        <f t="shared" si="6"/>
        <v>0</v>
      </c>
      <c r="Q17" s="21">
        <f t="shared" si="6"/>
        <v>0</v>
      </c>
      <c r="R17" s="21">
        <f t="shared" si="6"/>
        <v>0</v>
      </c>
      <c r="S17" s="21">
        <f t="shared" si="6"/>
        <v>0</v>
      </c>
      <c r="T17" s="21">
        <f t="shared" si="6"/>
        <v>0</v>
      </c>
      <c r="U17" s="21">
        <f t="shared" ref="U17:AG18" si="7">+T17</f>
        <v>0</v>
      </c>
      <c r="V17" s="21">
        <f t="shared" si="7"/>
        <v>0</v>
      </c>
      <c r="W17" s="21">
        <f t="shared" si="7"/>
        <v>0</v>
      </c>
      <c r="X17" s="21">
        <f t="shared" si="7"/>
        <v>0</v>
      </c>
      <c r="Y17" s="21">
        <f t="shared" si="7"/>
        <v>0</v>
      </c>
      <c r="Z17" s="21">
        <f t="shared" si="7"/>
        <v>0</v>
      </c>
      <c r="AA17" s="21">
        <f t="shared" si="7"/>
        <v>0</v>
      </c>
      <c r="AB17" s="21">
        <f t="shared" si="7"/>
        <v>0</v>
      </c>
      <c r="AC17" s="21">
        <f t="shared" si="7"/>
        <v>0</v>
      </c>
      <c r="AD17" s="21">
        <f t="shared" si="7"/>
        <v>0</v>
      </c>
      <c r="AE17" s="21">
        <f t="shared" si="7"/>
        <v>0</v>
      </c>
      <c r="AF17" s="21">
        <f t="shared" si="7"/>
        <v>0</v>
      </c>
      <c r="AG17" s="21">
        <f t="shared" si="7"/>
        <v>0</v>
      </c>
    </row>
    <row r="18" spans="1:33" s="8" customFormat="1" ht="18" customHeight="1" x14ac:dyDescent="0.25">
      <c r="A18" s="17" t="s">
        <v>167</v>
      </c>
      <c r="B18" s="28"/>
      <c r="C18" s="20"/>
      <c r="D18" s="20">
        <f>+'4.Prioritāte-4_Pielikums'!D12</f>
        <v>17.333022625045089</v>
      </c>
      <c r="E18" s="21">
        <f>+D18</f>
        <v>17.333022625045089</v>
      </c>
      <c r="F18" s="21">
        <f t="shared" si="6"/>
        <v>17.333022625045089</v>
      </c>
      <c r="G18" s="21">
        <f t="shared" si="6"/>
        <v>17.333022625045089</v>
      </c>
      <c r="H18" s="21">
        <f t="shared" si="6"/>
        <v>17.333022625045089</v>
      </c>
      <c r="I18" s="21">
        <f t="shared" si="6"/>
        <v>17.333022625045089</v>
      </c>
      <c r="J18" s="21">
        <f t="shared" si="6"/>
        <v>17.333022625045089</v>
      </c>
      <c r="K18" s="21">
        <f t="shared" si="6"/>
        <v>17.333022625045089</v>
      </c>
      <c r="L18" s="21">
        <f t="shared" si="6"/>
        <v>17.333022625045089</v>
      </c>
      <c r="M18" s="21">
        <f t="shared" si="6"/>
        <v>17.333022625045089</v>
      </c>
      <c r="N18" s="21">
        <f t="shared" si="6"/>
        <v>17.333022625045089</v>
      </c>
      <c r="O18" s="21">
        <f t="shared" si="6"/>
        <v>17.333022625045089</v>
      </c>
      <c r="P18" s="21">
        <f t="shared" si="6"/>
        <v>17.333022625045089</v>
      </c>
      <c r="Q18" s="21">
        <f t="shared" si="6"/>
        <v>17.333022625045089</v>
      </c>
      <c r="R18" s="21">
        <f t="shared" si="6"/>
        <v>17.333022625045089</v>
      </c>
      <c r="S18" s="21">
        <f t="shared" si="6"/>
        <v>17.333022625045089</v>
      </c>
      <c r="T18" s="21">
        <f t="shared" si="6"/>
        <v>17.333022625045089</v>
      </c>
      <c r="U18" s="21">
        <f t="shared" si="7"/>
        <v>17.333022625045089</v>
      </c>
      <c r="V18" s="21">
        <f t="shared" si="7"/>
        <v>17.333022625045089</v>
      </c>
      <c r="W18" s="21">
        <f t="shared" si="7"/>
        <v>17.333022625045089</v>
      </c>
      <c r="X18" s="21">
        <f t="shared" si="7"/>
        <v>17.333022625045089</v>
      </c>
      <c r="Y18" s="21">
        <f t="shared" si="7"/>
        <v>17.333022625045089</v>
      </c>
      <c r="Z18" s="21">
        <f t="shared" si="7"/>
        <v>17.333022625045089</v>
      </c>
      <c r="AA18" s="21">
        <f t="shared" si="7"/>
        <v>17.333022625045089</v>
      </c>
      <c r="AB18" s="21">
        <f t="shared" si="7"/>
        <v>17.333022625045089</v>
      </c>
      <c r="AC18" s="21">
        <f t="shared" si="7"/>
        <v>17.333022625045089</v>
      </c>
      <c r="AD18" s="21">
        <f t="shared" si="7"/>
        <v>17.333022625045089</v>
      </c>
      <c r="AE18" s="21">
        <f t="shared" si="7"/>
        <v>17.333022625045089</v>
      </c>
      <c r="AF18" s="21">
        <f t="shared" si="7"/>
        <v>17.333022625045089</v>
      </c>
      <c r="AG18" s="21">
        <f t="shared" si="7"/>
        <v>17.333022625045089</v>
      </c>
    </row>
    <row r="19" spans="1:33" s="24" customFormat="1" ht="18" customHeight="1" x14ac:dyDescent="0.25">
      <c r="A19" s="13" t="s">
        <v>12</v>
      </c>
      <c r="B19" s="22">
        <f>SUM(C19:X19)</f>
        <v>1249.5364751259458</v>
      </c>
      <c r="C19" s="30">
        <f>SUM(C16:C18)</f>
        <v>538.88300000000004</v>
      </c>
      <c r="D19" s="30">
        <f t="shared" ref="D19:AE19" si="8">SUM(D16:D18)</f>
        <v>17.333022625045089</v>
      </c>
      <c r="E19" s="30">
        <f t="shared" si="8"/>
        <v>17.333022625045089</v>
      </c>
      <c r="F19" s="30">
        <f t="shared" si="8"/>
        <v>17.333022625045089</v>
      </c>
      <c r="G19" s="30">
        <f t="shared" si="8"/>
        <v>17.333022625045089</v>
      </c>
      <c r="H19" s="30">
        <f t="shared" si="8"/>
        <v>17.333022625045089</v>
      </c>
      <c r="I19" s="30">
        <f t="shared" si="8"/>
        <v>17.333022625045089</v>
      </c>
      <c r="J19" s="31">
        <f t="shared" si="8"/>
        <v>17.333022625045089</v>
      </c>
      <c r="K19" s="31">
        <f t="shared" si="8"/>
        <v>17.333022625045089</v>
      </c>
      <c r="L19" s="31">
        <f t="shared" si="8"/>
        <v>17.333022625045089</v>
      </c>
      <c r="M19" s="31">
        <f t="shared" si="8"/>
        <v>363.99302262504511</v>
      </c>
      <c r="N19" s="31">
        <f t="shared" si="8"/>
        <v>17.333022625045089</v>
      </c>
      <c r="O19" s="31">
        <f t="shared" si="8"/>
        <v>17.333022625045089</v>
      </c>
      <c r="P19" s="31">
        <f t="shared" si="8"/>
        <v>17.333022625045089</v>
      </c>
      <c r="Q19" s="31">
        <f t="shared" si="8"/>
        <v>17.333022625045089</v>
      </c>
      <c r="R19" s="31">
        <f t="shared" si="8"/>
        <v>17.333022625045089</v>
      </c>
      <c r="S19" s="31">
        <f t="shared" si="8"/>
        <v>17.333022625045089</v>
      </c>
      <c r="T19" s="31">
        <f t="shared" si="8"/>
        <v>17.333022625045089</v>
      </c>
      <c r="U19" s="31">
        <f t="shared" si="8"/>
        <v>17.333022625045089</v>
      </c>
      <c r="V19" s="31">
        <f t="shared" si="8"/>
        <v>17.333022625045089</v>
      </c>
      <c r="W19" s="31">
        <f t="shared" si="8"/>
        <v>17.333022625045089</v>
      </c>
      <c r="X19" s="31">
        <f t="shared" si="8"/>
        <v>17.333022625045089</v>
      </c>
      <c r="Y19" s="31">
        <f t="shared" si="8"/>
        <v>17.333022625045089</v>
      </c>
      <c r="Z19" s="31">
        <f t="shared" si="8"/>
        <v>17.333022625045089</v>
      </c>
      <c r="AA19" s="31">
        <f t="shared" si="8"/>
        <v>17.333022625045089</v>
      </c>
      <c r="AB19" s="31">
        <f t="shared" si="8"/>
        <v>17.333022625045089</v>
      </c>
      <c r="AC19" s="31">
        <f t="shared" si="8"/>
        <v>17.333022625045089</v>
      </c>
      <c r="AD19" s="31">
        <f t="shared" si="8"/>
        <v>17.333022625045089</v>
      </c>
      <c r="AE19" s="31">
        <f t="shared" si="8"/>
        <v>17.333022625045089</v>
      </c>
      <c r="AF19" s="31">
        <f>SUM(AF16:AF18)</f>
        <v>17.333022625045089</v>
      </c>
      <c r="AG19" s="31">
        <f>SUM(AG16:AG18)</f>
        <v>17.333022625045089</v>
      </c>
    </row>
    <row r="20" spans="1:33" s="8" customFormat="1" ht="8.25" customHeight="1" x14ac:dyDescent="0.25">
      <c r="A20" s="32"/>
      <c r="B20" s="22"/>
      <c r="C20" s="33"/>
      <c r="D20" s="33"/>
      <c r="E20" s="33"/>
      <c r="F20" s="33"/>
      <c r="G20" s="33"/>
      <c r="H20" s="33"/>
      <c r="I20" s="33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</row>
    <row r="21" spans="1:33" s="16" customFormat="1" ht="18" customHeight="1" x14ac:dyDescent="0.25">
      <c r="A21" s="35" t="s">
        <v>13</v>
      </c>
      <c r="B21" s="22"/>
      <c r="C21" s="36">
        <f t="shared" ref="C21:AG21" si="9">+C13-C19</f>
        <v>-538.88300000000004</v>
      </c>
      <c r="D21" s="36">
        <f t="shared" si="9"/>
        <v>1715.5254061549549</v>
      </c>
      <c r="E21" s="36">
        <f t="shared" si="9"/>
        <v>330.05230311677303</v>
      </c>
      <c r="F21" s="36">
        <f t="shared" si="9"/>
        <v>516.89920007859132</v>
      </c>
      <c r="G21" s="36">
        <f t="shared" si="9"/>
        <v>703.74609704040927</v>
      </c>
      <c r="H21" s="36">
        <f t="shared" si="9"/>
        <v>890.59299400222767</v>
      </c>
      <c r="I21" s="36">
        <f t="shared" si="9"/>
        <v>1077.4398909640458</v>
      </c>
      <c r="J21" s="37">
        <f t="shared" si="9"/>
        <v>1264.286787925864</v>
      </c>
      <c r="K21" s="37">
        <f t="shared" si="9"/>
        <v>1451.133684887682</v>
      </c>
      <c r="L21" s="37">
        <f t="shared" si="9"/>
        <v>1637.9805818495001</v>
      </c>
      <c r="M21" s="37">
        <f t="shared" si="9"/>
        <v>1478.1674788113182</v>
      </c>
      <c r="N21" s="37">
        <f t="shared" si="9"/>
        <v>2011.6743757731365</v>
      </c>
      <c r="O21" s="37">
        <f t="shared" si="9"/>
        <v>2198.5212727349549</v>
      </c>
      <c r="P21" s="37">
        <f t="shared" si="9"/>
        <v>-17.333022625045089</v>
      </c>
      <c r="Q21" s="37">
        <f t="shared" si="9"/>
        <v>-17.333022625045089</v>
      </c>
      <c r="R21" s="37">
        <f t="shared" si="9"/>
        <v>-17.333022625045089</v>
      </c>
      <c r="S21" s="37">
        <f t="shared" si="9"/>
        <v>-17.333022625045089</v>
      </c>
      <c r="T21" s="37">
        <f t="shared" si="9"/>
        <v>-17.333022625045089</v>
      </c>
      <c r="U21" s="37">
        <f t="shared" si="9"/>
        <v>-17.333022625045089</v>
      </c>
      <c r="V21" s="37">
        <f t="shared" si="9"/>
        <v>-17.333022625045089</v>
      </c>
      <c r="W21" s="37">
        <f t="shared" si="9"/>
        <v>-17.333022625045089</v>
      </c>
      <c r="X21" s="37">
        <f t="shared" si="9"/>
        <v>-17.333022625045089</v>
      </c>
      <c r="Y21" s="37">
        <f t="shared" si="9"/>
        <v>-17.333022625045089</v>
      </c>
      <c r="Z21" s="37">
        <f t="shared" si="9"/>
        <v>-17.333022625045089</v>
      </c>
      <c r="AA21" s="37">
        <f t="shared" si="9"/>
        <v>-17.333022625045089</v>
      </c>
      <c r="AB21" s="37">
        <f t="shared" si="9"/>
        <v>-17.333022625045089</v>
      </c>
      <c r="AC21" s="37">
        <f t="shared" si="9"/>
        <v>-17.333022625045089</v>
      </c>
      <c r="AD21" s="37">
        <f t="shared" si="9"/>
        <v>-17.333022625045089</v>
      </c>
      <c r="AE21" s="37">
        <f t="shared" si="9"/>
        <v>-17.333022625045089</v>
      </c>
      <c r="AF21" s="37">
        <f t="shared" si="9"/>
        <v>-17.333022625045089</v>
      </c>
      <c r="AG21" s="37">
        <f t="shared" si="9"/>
        <v>-17.333022625045089</v>
      </c>
    </row>
    <row r="22" spans="1:33" s="8" customFormat="1" ht="18" customHeight="1" thickBot="1" x14ac:dyDescent="0.3">
      <c r="A22" s="38" t="s">
        <v>14</v>
      </c>
      <c r="B22" s="39">
        <v>0.05</v>
      </c>
      <c r="C22" s="40"/>
      <c r="D22" s="41"/>
      <c r="E22" s="41"/>
      <c r="F22" s="41"/>
      <c r="G22" s="41"/>
      <c r="H22" s="41"/>
      <c r="I22" s="41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</row>
    <row r="23" spans="1:33" s="8" customFormat="1" ht="18" customHeight="1" thickBot="1" x14ac:dyDescent="0.3">
      <c r="A23" s="43" t="s">
        <v>15</v>
      </c>
      <c r="B23" s="44">
        <f>IF(B24&lt;0,"n/a",IRR(C21:AG21,B22))</f>
        <v>2.4859532889357472</v>
      </c>
      <c r="C23" s="45"/>
      <c r="D23" s="41"/>
      <c r="E23" s="41"/>
      <c r="F23" s="41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</row>
    <row r="24" spans="1:33" s="8" customFormat="1" ht="18" customHeight="1" thickBot="1" x14ac:dyDescent="0.3">
      <c r="A24" s="43" t="s">
        <v>16</v>
      </c>
      <c r="B24" s="47">
        <f>+ROUND(NPV(B22,C21:AG21),2)</f>
        <v>9574.48</v>
      </c>
      <c r="C24" s="48" t="s">
        <v>17</v>
      </c>
      <c r="D24" s="41"/>
      <c r="E24" s="41"/>
      <c r="F24" s="41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</row>
    <row r="25" spans="1:33" s="8" customFormat="1" ht="18" customHeight="1" thickBot="1" x14ac:dyDescent="0.3">
      <c r="A25" s="49" t="s">
        <v>18</v>
      </c>
      <c r="B25" s="50">
        <f>NPV(B22,C13:AG13)/NPV(B22,C19:AG19)</f>
        <v>10.87396162020457</v>
      </c>
      <c r="C25" s="45"/>
      <c r="D25" s="42"/>
      <c r="E25" s="42"/>
      <c r="F25" s="42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</row>
    <row r="26" spans="1:33" s="51" customFormat="1" ht="18" customHeight="1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</row>
    <row r="27" spans="1:33" s="8" customFormat="1" ht="15.75" x14ac:dyDescent="0.25">
      <c r="A27" s="5" t="s">
        <v>19</v>
      </c>
      <c r="B27" s="6"/>
      <c r="C27" s="6"/>
      <c r="D27" s="6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</row>
    <row r="28" spans="1:33" s="8" customFormat="1" ht="15.75" x14ac:dyDescent="0.25">
      <c r="A28" s="9"/>
      <c r="B28" s="10"/>
      <c r="C28" s="10">
        <v>0</v>
      </c>
      <c r="D28" s="10">
        <f t="shared" ref="D28:AG28" si="10">C28+1</f>
        <v>1</v>
      </c>
      <c r="E28" s="10">
        <f t="shared" si="10"/>
        <v>2</v>
      </c>
      <c r="F28" s="10">
        <f t="shared" si="10"/>
        <v>3</v>
      </c>
      <c r="G28" s="10">
        <f t="shared" si="10"/>
        <v>4</v>
      </c>
      <c r="H28" s="10">
        <f t="shared" si="10"/>
        <v>5</v>
      </c>
      <c r="I28" s="10">
        <f t="shared" si="10"/>
        <v>6</v>
      </c>
      <c r="J28" s="10">
        <f t="shared" si="10"/>
        <v>7</v>
      </c>
      <c r="K28" s="10">
        <f t="shared" si="10"/>
        <v>8</v>
      </c>
      <c r="L28" s="10">
        <f t="shared" si="10"/>
        <v>9</v>
      </c>
      <c r="M28" s="10">
        <f t="shared" si="10"/>
        <v>10</v>
      </c>
      <c r="N28" s="10">
        <f t="shared" si="10"/>
        <v>11</v>
      </c>
      <c r="O28" s="10">
        <f t="shared" si="10"/>
        <v>12</v>
      </c>
      <c r="P28" s="10">
        <f t="shared" si="10"/>
        <v>13</v>
      </c>
      <c r="Q28" s="10">
        <f t="shared" si="10"/>
        <v>14</v>
      </c>
      <c r="R28" s="10">
        <f t="shared" si="10"/>
        <v>15</v>
      </c>
      <c r="S28" s="10">
        <f t="shared" si="10"/>
        <v>16</v>
      </c>
      <c r="T28" s="10">
        <f t="shared" si="10"/>
        <v>17</v>
      </c>
      <c r="U28" s="10">
        <f t="shared" si="10"/>
        <v>18</v>
      </c>
      <c r="V28" s="10">
        <f t="shared" si="10"/>
        <v>19</v>
      </c>
      <c r="W28" s="10">
        <f t="shared" si="10"/>
        <v>20</v>
      </c>
      <c r="X28" s="10">
        <f t="shared" si="10"/>
        <v>21</v>
      </c>
      <c r="Y28" s="10">
        <f t="shared" si="10"/>
        <v>22</v>
      </c>
      <c r="Z28" s="10">
        <f t="shared" si="10"/>
        <v>23</v>
      </c>
      <c r="AA28" s="10">
        <f t="shared" si="10"/>
        <v>24</v>
      </c>
      <c r="AB28" s="10">
        <f t="shared" si="10"/>
        <v>25</v>
      </c>
      <c r="AC28" s="10">
        <f t="shared" si="10"/>
        <v>26</v>
      </c>
      <c r="AD28" s="10">
        <f t="shared" si="10"/>
        <v>27</v>
      </c>
      <c r="AE28" s="10">
        <f t="shared" si="10"/>
        <v>28</v>
      </c>
      <c r="AF28" s="10">
        <f t="shared" si="10"/>
        <v>29</v>
      </c>
      <c r="AG28" s="10">
        <f t="shared" si="10"/>
        <v>30</v>
      </c>
    </row>
    <row r="29" spans="1:33" s="12" customFormat="1" ht="17.45" customHeight="1" x14ac:dyDescent="0.25">
      <c r="A29" s="11"/>
      <c r="B29" s="401" t="s">
        <v>5</v>
      </c>
      <c r="C29" s="402">
        <v>1</v>
      </c>
      <c r="D29" s="402">
        <f t="shared" ref="D29:W29" si="11">1/(1+$B$22)^D28</f>
        <v>0.95238095238095233</v>
      </c>
      <c r="E29" s="402">
        <f t="shared" si="11"/>
        <v>0.90702947845804982</v>
      </c>
      <c r="F29" s="402">
        <f t="shared" si="11"/>
        <v>0.86383759853147601</v>
      </c>
      <c r="G29" s="402">
        <f t="shared" si="11"/>
        <v>0.82270247479188197</v>
      </c>
      <c r="H29" s="402">
        <f t="shared" si="11"/>
        <v>0.78352616646845896</v>
      </c>
      <c r="I29" s="402">
        <f t="shared" si="11"/>
        <v>0.74621539663662761</v>
      </c>
      <c r="J29" s="402">
        <f t="shared" si="11"/>
        <v>0.71068133013012147</v>
      </c>
      <c r="K29" s="402">
        <f t="shared" si="11"/>
        <v>0.67683936202868722</v>
      </c>
      <c r="L29" s="402">
        <f t="shared" si="11"/>
        <v>0.64460891621779726</v>
      </c>
      <c r="M29" s="402">
        <f t="shared" si="11"/>
        <v>0.61391325354075932</v>
      </c>
      <c r="N29" s="402">
        <f t="shared" si="11"/>
        <v>0.5846792890864374</v>
      </c>
      <c r="O29" s="402">
        <f t="shared" si="11"/>
        <v>0.5568374181775595</v>
      </c>
      <c r="P29" s="402">
        <f t="shared" si="11"/>
        <v>0.53032135064529462</v>
      </c>
      <c r="Q29" s="402">
        <f t="shared" si="11"/>
        <v>0.50506795299551888</v>
      </c>
      <c r="R29" s="402">
        <f t="shared" si="11"/>
        <v>0.48101709809097021</v>
      </c>
      <c r="S29" s="402">
        <f t="shared" si="11"/>
        <v>0.45811152199140021</v>
      </c>
      <c r="T29" s="402">
        <f t="shared" si="11"/>
        <v>0.43629668761085727</v>
      </c>
      <c r="U29" s="402">
        <f t="shared" si="11"/>
        <v>0.41552065486748313</v>
      </c>
      <c r="V29" s="402">
        <f t="shared" si="11"/>
        <v>0.39573395701665059</v>
      </c>
      <c r="W29" s="402">
        <f t="shared" si="11"/>
        <v>0.37688948287300061</v>
      </c>
      <c r="X29" s="402">
        <f>1/(1+$B$22)^X28</f>
        <v>0.35894236464095297</v>
      </c>
      <c r="Y29" s="402">
        <f t="shared" ref="Y29:AD29" si="12">1/(1+$B$22)^Y28</f>
        <v>0.3418498710866219</v>
      </c>
      <c r="Z29" s="402">
        <f t="shared" si="12"/>
        <v>0.32557130579678267</v>
      </c>
      <c r="AA29" s="402">
        <f t="shared" si="12"/>
        <v>0.31006791028265024</v>
      </c>
      <c r="AB29" s="402">
        <f t="shared" si="12"/>
        <v>0.29530277169776209</v>
      </c>
      <c r="AC29" s="402">
        <f t="shared" si="12"/>
        <v>0.28124073495024959</v>
      </c>
      <c r="AD29" s="402">
        <f t="shared" si="12"/>
        <v>0.2678483190002377</v>
      </c>
      <c r="AE29" s="402">
        <f>1/(1+$B$22)^AE28</f>
        <v>0.25509363714308358</v>
      </c>
      <c r="AF29" s="402">
        <f>1/(1+$B$22)^AF28</f>
        <v>0.24294632108865097</v>
      </c>
      <c r="AG29" s="402">
        <f>1/(1+$B$22)^AG28</f>
        <v>0.23137744865585813</v>
      </c>
    </row>
    <row r="30" spans="1:33" s="16" customFormat="1" ht="18.75" customHeight="1" x14ac:dyDescent="0.25">
      <c r="A30" s="5" t="s">
        <v>6</v>
      </c>
      <c r="B30" s="13"/>
      <c r="C30" s="14"/>
      <c r="D30" s="14"/>
      <c r="E30" s="14"/>
      <c r="F30" s="14"/>
      <c r="G30" s="14"/>
      <c r="H30" s="14"/>
      <c r="I30" s="14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</row>
    <row r="31" spans="1:33" s="8" customFormat="1" ht="18" customHeight="1" x14ac:dyDescent="0.25">
      <c r="A31" s="17" t="s">
        <v>165</v>
      </c>
      <c r="B31" s="18"/>
      <c r="C31" s="14"/>
      <c r="D31" s="20">
        <f>+D9</f>
        <v>1572.32</v>
      </c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</row>
    <row r="32" spans="1:33" s="8" customFormat="1" ht="18" customHeight="1" x14ac:dyDescent="0.25">
      <c r="A32" s="17" t="s">
        <v>166</v>
      </c>
      <c r="B32" s="18"/>
      <c r="C32" s="14"/>
      <c r="D32" s="20">
        <f>+'4.Prioritāte-5_Pielikums_1d'!D13/1000+C87/1000</f>
        <v>160.53842877999995</v>
      </c>
      <c r="E32" s="20">
        <f>+'4.Prioritāte-5_Pielikums_1d'!E13/1000+D87/1000</f>
        <v>347.38532574181812</v>
      </c>
      <c r="F32" s="20">
        <f>+'4.Prioritāte-5_Pielikums_1d'!F13/1000+E87/1000</f>
        <v>534.23222270363635</v>
      </c>
      <c r="G32" s="20">
        <f>+'4.Prioritāte-5_Pielikums_1d'!G13/1000+F87/1000</f>
        <v>721.07911966545441</v>
      </c>
      <c r="H32" s="20">
        <f>+'4.Prioritāte-5_Pielikums_1d'!H13/1000+G87/1000</f>
        <v>907.9260166272727</v>
      </c>
      <c r="I32" s="20">
        <f>+'4.Prioritāte-5_Pielikums_1d'!I13/1000+H87/1000</f>
        <v>1094.7729135890909</v>
      </c>
      <c r="J32" s="20">
        <f>+'4.Prioritāte-5_Pielikums_1d'!J13/1000+I87/1000</f>
        <v>1281.6198105509091</v>
      </c>
      <c r="K32" s="20">
        <f>+'4.Prioritāte-5_Pielikums_1d'!K13/1000+J87/1000</f>
        <v>1468.466707512727</v>
      </c>
      <c r="L32" s="20">
        <f>+'4.Prioritāte-5_Pielikums_1d'!L13/1000+K87/1000</f>
        <v>1655.3136044745452</v>
      </c>
      <c r="M32" s="20">
        <f>+'4.Prioritāte-5_Pielikums_1d'!M13/1000+L87/1000</f>
        <v>1842.1605014363633</v>
      </c>
      <c r="N32" s="20">
        <f>+'4.Prioritāte-5_Pielikums_1d'!N13/1000+M87/1000</f>
        <v>2029.0073983981815</v>
      </c>
      <c r="O32" s="20">
        <f>+'4.Prioritāte-5_Pielikums_1d'!O13/1000+N87/1000</f>
        <v>2215.8542953599999</v>
      </c>
      <c r="P32" s="20">
        <f>+'4.Prioritāte-5_Pielikums_1d'!P13/1000+O87/1000</f>
        <v>2376.3927241399997</v>
      </c>
      <c r="Q32" s="20">
        <f>+'4.Prioritāte-5_Pielikums_1d'!Q13/1000+P87/1000</f>
        <v>2536.9311529199999</v>
      </c>
      <c r="R32" s="20">
        <f>+'4.Prioritāte-5_Pielikums_1d'!R13/1000+Q87/1000</f>
        <v>2697.4695817000002</v>
      </c>
      <c r="S32" s="20">
        <f>+'4.Prioritāte-5_Pielikums_1d'!S13/1000+R87/1000</f>
        <v>2858.0080104799995</v>
      </c>
      <c r="T32" s="20">
        <f>+'4.Prioritāte-5_Pielikums_1d'!T13/1000+S87/1000</f>
        <v>3018.5464392599993</v>
      </c>
      <c r="U32" s="20">
        <f>+'4.Prioritāte-5_Pielikums_1d'!U13/1000+T87/1000</f>
        <v>3179.084868039999</v>
      </c>
      <c r="V32" s="20">
        <f>+'4.Prioritāte-5_Pielikums_1d'!V13/1000+U87/1000</f>
        <v>3339.6232968199988</v>
      </c>
      <c r="W32" s="20">
        <f>+'4.Prioritāte-5_Pielikums_1d'!W13/1000+V87/1000</f>
        <v>3500.1617255999986</v>
      </c>
      <c r="X32" s="20">
        <f>+'4.Prioritāte-5_Pielikums_1d'!X13/1000+W87/1000</f>
        <v>3660.7001543799984</v>
      </c>
      <c r="Y32" s="20">
        <f>+'4.Prioritāte-5_Pielikums_1d'!Y13/1000+X87/1000</f>
        <v>3821.2385831599981</v>
      </c>
      <c r="Z32" s="20">
        <f>+'4.Prioritāte-5_Pielikums_1d'!Z13/1000+Y87/1000</f>
        <v>3981.7770119399979</v>
      </c>
      <c r="AA32" s="20">
        <f>+'4.Prioritāte-5_Pielikums_1d'!AA13/1000+Z87/1000</f>
        <v>4142.3154407199972</v>
      </c>
      <c r="AB32" s="20">
        <f>+'4.Prioritāte-5_Pielikums_1d'!AB13/1000+AA87/1000</f>
        <v>4302.853869499997</v>
      </c>
      <c r="AC32" s="20">
        <f>+'4.Prioritāte-5_Pielikums_1d'!AC13/1000+AB87/1000</f>
        <v>4463.3922982799968</v>
      </c>
      <c r="AD32" s="20">
        <f>+'4.Prioritāte-5_Pielikums_1d'!AD13/1000+AC87/1000</f>
        <v>4623.9307270599966</v>
      </c>
      <c r="AE32" s="20">
        <f>+'4.Prioritāte-5_Pielikums_1d'!AE13/1000+AD87/1000</f>
        <v>4784.4691558399963</v>
      </c>
      <c r="AF32" s="20">
        <f>+'4.Prioritāte-5_Pielikums_1d'!AF13/1000+AE87/1000</f>
        <v>4945.0075846199952</v>
      </c>
      <c r="AG32" s="20">
        <f>+'4.Prioritāte-5_Pielikums_1d'!AG13/1000+AF87/1000</f>
        <v>5105.546013399995</v>
      </c>
    </row>
    <row r="33" spans="1:33" s="8" customFormat="1" ht="18" customHeight="1" x14ac:dyDescent="0.25">
      <c r="A33" s="17"/>
      <c r="B33" s="18"/>
      <c r="C33" s="14"/>
      <c r="D33" s="20">
        <v>0</v>
      </c>
      <c r="E33" s="21">
        <f t="shared" ref="E33:AG34" si="13">+D33</f>
        <v>0</v>
      </c>
      <c r="F33" s="21">
        <f t="shared" si="13"/>
        <v>0</v>
      </c>
      <c r="G33" s="21">
        <f t="shared" si="13"/>
        <v>0</v>
      </c>
      <c r="H33" s="21">
        <f t="shared" si="13"/>
        <v>0</v>
      </c>
      <c r="I33" s="21">
        <f t="shared" si="13"/>
        <v>0</v>
      </c>
      <c r="J33" s="21">
        <f t="shared" si="13"/>
        <v>0</v>
      </c>
      <c r="K33" s="21">
        <f t="shared" si="13"/>
        <v>0</v>
      </c>
      <c r="L33" s="21">
        <f t="shared" si="13"/>
        <v>0</v>
      </c>
      <c r="M33" s="21">
        <f t="shared" si="13"/>
        <v>0</v>
      </c>
      <c r="N33" s="21">
        <f t="shared" si="13"/>
        <v>0</v>
      </c>
      <c r="O33" s="21">
        <f t="shared" si="13"/>
        <v>0</v>
      </c>
      <c r="P33" s="21">
        <f t="shared" si="13"/>
        <v>0</v>
      </c>
      <c r="Q33" s="21">
        <f t="shared" si="13"/>
        <v>0</v>
      </c>
      <c r="R33" s="21">
        <f t="shared" si="13"/>
        <v>0</v>
      </c>
      <c r="S33" s="21">
        <f t="shared" si="13"/>
        <v>0</v>
      </c>
      <c r="T33" s="21">
        <f t="shared" si="13"/>
        <v>0</v>
      </c>
      <c r="U33" s="21">
        <f t="shared" si="13"/>
        <v>0</v>
      </c>
      <c r="V33" s="21">
        <f t="shared" si="13"/>
        <v>0</v>
      </c>
      <c r="W33" s="21">
        <f t="shared" si="13"/>
        <v>0</v>
      </c>
      <c r="X33" s="21">
        <f t="shared" si="13"/>
        <v>0</v>
      </c>
      <c r="Y33" s="21">
        <f t="shared" si="13"/>
        <v>0</v>
      </c>
      <c r="Z33" s="21">
        <f t="shared" si="13"/>
        <v>0</v>
      </c>
      <c r="AA33" s="21">
        <f t="shared" si="13"/>
        <v>0</v>
      </c>
      <c r="AB33" s="21">
        <f t="shared" si="13"/>
        <v>0</v>
      </c>
      <c r="AC33" s="21">
        <f t="shared" si="13"/>
        <v>0</v>
      </c>
      <c r="AD33" s="21">
        <f t="shared" si="13"/>
        <v>0</v>
      </c>
      <c r="AE33" s="21">
        <f t="shared" si="13"/>
        <v>0</v>
      </c>
      <c r="AF33" s="21">
        <f t="shared" si="13"/>
        <v>0</v>
      </c>
      <c r="AG33" s="21">
        <f t="shared" si="13"/>
        <v>0</v>
      </c>
    </row>
    <row r="34" spans="1:33" s="8" customFormat="1" ht="18" customHeight="1" x14ac:dyDescent="0.25">
      <c r="A34" s="17"/>
      <c r="B34" s="18"/>
      <c r="C34" s="14"/>
      <c r="D34" s="20">
        <v>0</v>
      </c>
      <c r="E34" s="21">
        <f t="shared" si="13"/>
        <v>0</v>
      </c>
      <c r="F34" s="21">
        <f t="shared" si="13"/>
        <v>0</v>
      </c>
      <c r="G34" s="21">
        <f t="shared" si="13"/>
        <v>0</v>
      </c>
      <c r="H34" s="21">
        <f t="shared" si="13"/>
        <v>0</v>
      </c>
      <c r="I34" s="21">
        <f t="shared" si="13"/>
        <v>0</v>
      </c>
      <c r="J34" s="21">
        <f t="shared" si="13"/>
        <v>0</v>
      </c>
      <c r="K34" s="21">
        <f t="shared" si="13"/>
        <v>0</v>
      </c>
      <c r="L34" s="21">
        <f t="shared" si="13"/>
        <v>0</v>
      </c>
      <c r="M34" s="21">
        <f t="shared" si="13"/>
        <v>0</v>
      </c>
      <c r="N34" s="21">
        <f t="shared" si="13"/>
        <v>0</v>
      </c>
      <c r="O34" s="21">
        <f t="shared" si="13"/>
        <v>0</v>
      </c>
      <c r="P34" s="21">
        <f t="shared" si="13"/>
        <v>0</v>
      </c>
      <c r="Q34" s="21">
        <f t="shared" si="13"/>
        <v>0</v>
      </c>
      <c r="R34" s="21">
        <f t="shared" si="13"/>
        <v>0</v>
      </c>
      <c r="S34" s="21">
        <f t="shared" si="13"/>
        <v>0</v>
      </c>
      <c r="T34" s="21">
        <f t="shared" si="13"/>
        <v>0</v>
      </c>
      <c r="U34" s="21">
        <f t="shared" si="13"/>
        <v>0</v>
      </c>
      <c r="V34" s="21">
        <f t="shared" si="13"/>
        <v>0</v>
      </c>
      <c r="W34" s="21">
        <f t="shared" si="13"/>
        <v>0</v>
      </c>
      <c r="X34" s="21">
        <f t="shared" si="13"/>
        <v>0</v>
      </c>
      <c r="Y34" s="21">
        <f t="shared" si="13"/>
        <v>0</v>
      </c>
      <c r="Z34" s="21">
        <f t="shared" si="13"/>
        <v>0</v>
      </c>
      <c r="AA34" s="21">
        <f t="shared" si="13"/>
        <v>0</v>
      </c>
      <c r="AB34" s="21">
        <f t="shared" si="13"/>
        <v>0</v>
      </c>
      <c r="AC34" s="21">
        <f t="shared" si="13"/>
        <v>0</v>
      </c>
      <c r="AD34" s="21">
        <f t="shared" si="13"/>
        <v>0</v>
      </c>
      <c r="AE34" s="21">
        <f t="shared" si="13"/>
        <v>0</v>
      </c>
      <c r="AF34" s="21">
        <f t="shared" si="13"/>
        <v>0</v>
      </c>
      <c r="AG34" s="21">
        <f t="shared" si="13"/>
        <v>0</v>
      </c>
    </row>
    <row r="35" spans="1:33" s="24" customFormat="1" ht="18" customHeight="1" x14ac:dyDescent="0.25">
      <c r="A35" s="13" t="s">
        <v>8</v>
      </c>
      <c r="B35" s="22">
        <f>SUM(C35:X35)</f>
        <v>42997.594298179989</v>
      </c>
      <c r="C35" s="23">
        <f>SUM(C31:C34)</f>
        <v>0</v>
      </c>
      <c r="D35" s="23">
        <f t="shared" ref="D35:AE35" si="14">SUM(D31:D34)</f>
        <v>1732.8584287799999</v>
      </c>
      <c r="E35" s="23">
        <f t="shared" si="14"/>
        <v>347.38532574181812</v>
      </c>
      <c r="F35" s="23">
        <f t="shared" si="14"/>
        <v>534.23222270363635</v>
      </c>
      <c r="G35" s="23">
        <f t="shared" si="14"/>
        <v>721.07911966545441</v>
      </c>
      <c r="H35" s="23">
        <f t="shared" si="14"/>
        <v>907.9260166272727</v>
      </c>
      <c r="I35" s="23">
        <f t="shared" si="14"/>
        <v>1094.7729135890909</v>
      </c>
      <c r="J35" s="23">
        <f t="shared" si="14"/>
        <v>1281.6198105509091</v>
      </c>
      <c r="K35" s="23">
        <f t="shared" si="14"/>
        <v>1468.466707512727</v>
      </c>
      <c r="L35" s="23">
        <f t="shared" si="14"/>
        <v>1655.3136044745452</v>
      </c>
      <c r="M35" s="23">
        <f t="shared" si="14"/>
        <v>1842.1605014363633</v>
      </c>
      <c r="N35" s="23">
        <f t="shared" si="14"/>
        <v>2029.0073983981815</v>
      </c>
      <c r="O35" s="23">
        <f t="shared" si="14"/>
        <v>2215.8542953599999</v>
      </c>
      <c r="P35" s="23">
        <f t="shared" si="14"/>
        <v>2376.3927241399997</v>
      </c>
      <c r="Q35" s="23">
        <f t="shared" si="14"/>
        <v>2536.9311529199999</v>
      </c>
      <c r="R35" s="23">
        <f t="shared" si="14"/>
        <v>2697.4695817000002</v>
      </c>
      <c r="S35" s="23">
        <f t="shared" si="14"/>
        <v>2858.0080104799995</v>
      </c>
      <c r="T35" s="23">
        <f t="shared" si="14"/>
        <v>3018.5464392599993</v>
      </c>
      <c r="U35" s="23">
        <f t="shared" si="14"/>
        <v>3179.084868039999</v>
      </c>
      <c r="V35" s="23">
        <f t="shared" si="14"/>
        <v>3339.6232968199988</v>
      </c>
      <c r="W35" s="23">
        <f t="shared" si="14"/>
        <v>3500.1617255999986</v>
      </c>
      <c r="X35" s="23">
        <f t="shared" si="14"/>
        <v>3660.7001543799984</v>
      </c>
      <c r="Y35" s="23">
        <f t="shared" si="14"/>
        <v>3821.2385831599981</v>
      </c>
      <c r="Z35" s="23">
        <f t="shared" si="14"/>
        <v>3981.7770119399979</v>
      </c>
      <c r="AA35" s="23">
        <f t="shared" si="14"/>
        <v>4142.3154407199972</v>
      </c>
      <c r="AB35" s="23">
        <f t="shared" si="14"/>
        <v>4302.853869499997</v>
      </c>
      <c r="AC35" s="23">
        <f t="shared" si="14"/>
        <v>4463.3922982799968</v>
      </c>
      <c r="AD35" s="23">
        <f t="shared" si="14"/>
        <v>4623.9307270599966</v>
      </c>
      <c r="AE35" s="23">
        <f t="shared" si="14"/>
        <v>4784.4691558399963</v>
      </c>
      <c r="AF35" s="23">
        <f>SUM(AF31:AF34)</f>
        <v>4945.0075846199952</v>
      </c>
      <c r="AG35" s="23">
        <f>SUM(AG31:AG34)</f>
        <v>5105.546013399995</v>
      </c>
    </row>
    <row r="36" spans="1:33" s="16" customFormat="1" ht="8.25" customHeight="1" x14ac:dyDescent="0.25">
      <c r="A36" s="6"/>
      <c r="B36" s="6"/>
      <c r="C36" s="6"/>
      <c r="D36" s="6"/>
      <c r="E36" s="6"/>
      <c r="F36" s="6"/>
      <c r="G36" s="6"/>
      <c r="H36" s="6"/>
      <c r="I36" s="6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</row>
    <row r="37" spans="1:33" s="16" customFormat="1" ht="18" customHeight="1" x14ac:dyDescent="0.25">
      <c r="A37" s="5" t="s">
        <v>9</v>
      </c>
      <c r="B37" s="22"/>
      <c r="C37" s="26"/>
      <c r="D37" s="26"/>
      <c r="E37" s="26"/>
      <c r="F37" s="26"/>
      <c r="G37" s="26"/>
      <c r="H37" s="26"/>
      <c r="I37" s="26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</row>
    <row r="38" spans="1:33" s="8" customFormat="1" ht="18" customHeight="1" x14ac:dyDescent="0.25">
      <c r="A38" s="17" t="s">
        <v>10</v>
      </c>
      <c r="B38" s="28"/>
      <c r="C38" s="20">
        <f>+C16</f>
        <v>538.88300000000004</v>
      </c>
      <c r="D38" s="29"/>
      <c r="E38" s="29"/>
      <c r="F38" s="29"/>
      <c r="G38" s="29"/>
      <c r="H38" s="29"/>
      <c r="I38" s="29"/>
      <c r="J38" s="29"/>
      <c r="K38" s="29"/>
      <c r="L38" s="29"/>
      <c r="M38" s="29">
        <f>+M16</f>
        <v>346.66</v>
      </c>
      <c r="N38" s="29"/>
      <c r="O38" s="29"/>
      <c r="P38" s="29"/>
      <c r="Q38" s="29"/>
      <c r="R38" s="29"/>
      <c r="S38" s="29"/>
      <c r="T38" s="29"/>
      <c r="U38" s="29"/>
      <c r="V38" s="29"/>
      <c r="W38" s="29">
        <f>+M38</f>
        <v>346.66</v>
      </c>
      <c r="X38" s="29"/>
      <c r="Y38" s="29"/>
      <c r="Z38" s="29"/>
      <c r="AA38" s="29"/>
      <c r="AB38" s="29"/>
      <c r="AC38" s="29"/>
      <c r="AD38" s="29"/>
      <c r="AE38" s="29"/>
      <c r="AF38" s="29"/>
      <c r="AG38" s="29">
        <f>+W38</f>
        <v>346.66</v>
      </c>
    </row>
    <row r="39" spans="1:33" s="8" customFormat="1" ht="18" hidden="1" customHeight="1" x14ac:dyDescent="0.25">
      <c r="A39" s="17" t="s">
        <v>11</v>
      </c>
      <c r="B39" s="28"/>
      <c r="C39" s="20"/>
      <c r="D39" s="20">
        <v>0</v>
      </c>
      <c r="E39" s="21">
        <f t="shared" ref="E39:AG40" si="15">+D39</f>
        <v>0</v>
      </c>
      <c r="F39" s="21">
        <f t="shared" si="15"/>
        <v>0</v>
      </c>
      <c r="G39" s="21">
        <f t="shared" si="15"/>
        <v>0</v>
      </c>
      <c r="H39" s="21">
        <f t="shared" si="15"/>
        <v>0</v>
      </c>
      <c r="I39" s="21">
        <f t="shared" si="15"/>
        <v>0</v>
      </c>
      <c r="J39" s="21">
        <f t="shared" si="15"/>
        <v>0</v>
      </c>
      <c r="K39" s="21">
        <f t="shared" si="15"/>
        <v>0</v>
      </c>
      <c r="L39" s="21">
        <f t="shared" si="15"/>
        <v>0</v>
      </c>
      <c r="M39" s="21">
        <f t="shared" si="15"/>
        <v>0</v>
      </c>
      <c r="N39" s="21">
        <f t="shared" si="15"/>
        <v>0</v>
      </c>
      <c r="O39" s="21">
        <f t="shared" si="15"/>
        <v>0</v>
      </c>
      <c r="P39" s="21">
        <f t="shared" si="15"/>
        <v>0</v>
      </c>
      <c r="Q39" s="21">
        <f t="shared" si="15"/>
        <v>0</v>
      </c>
      <c r="R39" s="21">
        <f t="shared" si="15"/>
        <v>0</v>
      </c>
      <c r="S39" s="21">
        <f t="shared" si="15"/>
        <v>0</v>
      </c>
      <c r="T39" s="21">
        <f t="shared" si="15"/>
        <v>0</v>
      </c>
      <c r="U39" s="21">
        <f t="shared" si="15"/>
        <v>0</v>
      </c>
      <c r="V39" s="21">
        <f t="shared" si="15"/>
        <v>0</v>
      </c>
      <c r="W39" s="21">
        <f t="shared" si="15"/>
        <v>0</v>
      </c>
      <c r="X39" s="21">
        <f t="shared" si="15"/>
        <v>0</v>
      </c>
      <c r="Y39" s="21">
        <f t="shared" si="15"/>
        <v>0</v>
      </c>
      <c r="Z39" s="21">
        <f t="shared" si="15"/>
        <v>0</v>
      </c>
      <c r="AA39" s="21">
        <f t="shared" si="15"/>
        <v>0</v>
      </c>
      <c r="AB39" s="21">
        <f t="shared" si="15"/>
        <v>0</v>
      </c>
      <c r="AC39" s="21">
        <f t="shared" si="15"/>
        <v>0</v>
      </c>
      <c r="AD39" s="21">
        <f t="shared" si="15"/>
        <v>0</v>
      </c>
      <c r="AE39" s="21">
        <f t="shared" si="15"/>
        <v>0</v>
      </c>
      <c r="AF39" s="21">
        <f t="shared" si="15"/>
        <v>0</v>
      </c>
      <c r="AG39" s="21">
        <f t="shared" si="15"/>
        <v>0</v>
      </c>
    </row>
    <row r="40" spans="1:33" s="8" customFormat="1" ht="18" customHeight="1" x14ac:dyDescent="0.25">
      <c r="A40" s="17" t="s">
        <v>167</v>
      </c>
      <c r="B40" s="28"/>
      <c r="C40" s="20"/>
      <c r="D40" s="20">
        <f>+'4.Prioritāte-4_Pielikums'!D12</f>
        <v>17.333022625045089</v>
      </c>
      <c r="E40" s="21">
        <f t="shared" si="15"/>
        <v>17.333022625045089</v>
      </c>
      <c r="F40" s="21">
        <f t="shared" si="15"/>
        <v>17.333022625045089</v>
      </c>
      <c r="G40" s="21">
        <f t="shared" si="15"/>
        <v>17.333022625045089</v>
      </c>
      <c r="H40" s="21">
        <f t="shared" si="15"/>
        <v>17.333022625045089</v>
      </c>
      <c r="I40" s="21">
        <f t="shared" si="15"/>
        <v>17.333022625045089</v>
      </c>
      <c r="J40" s="21">
        <f t="shared" si="15"/>
        <v>17.333022625045089</v>
      </c>
      <c r="K40" s="21">
        <f t="shared" si="15"/>
        <v>17.333022625045089</v>
      </c>
      <c r="L40" s="21">
        <f t="shared" si="15"/>
        <v>17.333022625045089</v>
      </c>
      <c r="M40" s="21">
        <f t="shared" si="15"/>
        <v>17.333022625045089</v>
      </c>
      <c r="N40" s="21">
        <f t="shared" si="15"/>
        <v>17.333022625045089</v>
      </c>
      <c r="O40" s="21">
        <f t="shared" si="15"/>
        <v>17.333022625045089</v>
      </c>
      <c r="P40" s="21">
        <f t="shared" si="15"/>
        <v>17.333022625045089</v>
      </c>
      <c r="Q40" s="21">
        <f t="shared" si="15"/>
        <v>17.333022625045089</v>
      </c>
      <c r="R40" s="21">
        <f t="shared" si="15"/>
        <v>17.333022625045089</v>
      </c>
      <c r="S40" s="21">
        <f t="shared" si="15"/>
        <v>17.333022625045089</v>
      </c>
      <c r="T40" s="21">
        <f t="shared" si="15"/>
        <v>17.333022625045089</v>
      </c>
      <c r="U40" s="21">
        <f t="shared" si="15"/>
        <v>17.333022625045089</v>
      </c>
      <c r="V40" s="21">
        <f t="shared" si="15"/>
        <v>17.333022625045089</v>
      </c>
      <c r="W40" s="21">
        <f t="shared" si="15"/>
        <v>17.333022625045089</v>
      </c>
      <c r="X40" s="21">
        <f t="shared" si="15"/>
        <v>17.333022625045089</v>
      </c>
      <c r="Y40" s="21">
        <f t="shared" si="15"/>
        <v>17.333022625045089</v>
      </c>
      <c r="Z40" s="21">
        <f t="shared" si="15"/>
        <v>17.333022625045089</v>
      </c>
      <c r="AA40" s="21">
        <f t="shared" si="15"/>
        <v>17.333022625045089</v>
      </c>
      <c r="AB40" s="21">
        <f t="shared" si="15"/>
        <v>17.333022625045089</v>
      </c>
      <c r="AC40" s="21">
        <f t="shared" si="15"/>
        <v>17.333022625045089</v>
      </c>
      <c r="AD40" s="21">
        <f t="shared" si="15"/>
        <v>17.333022625045089</v>
      </c>
      <c r="AE40" s="21">
        <f t="shared" si="15"/>
        <v>17.333022625045089</v>
      </c>
      <c r="AF40" s="21">
        <f t="shared" si="15"/>
        <v>17.333022625045089</v>
      </c>
      <c r="AG40" s="21">
        <f t="shared" si="15"/>
        <v>17.333022625045089</v>
      </c>
    </row>
    <row r="41" spans="1:33" s="24" customFormat="1" ht="18" customHeight="1" x14ac:dyDescent="0.25">
      <c r="A41" s="13" t="s">
        <v>12</v>
      </c>
      <c r="B41" s="22">
        <f>SUM(C41:X41)</f>
        <v>1596.1964751259459</v>
      </c>
      <c r="C41" s="30">
        <f>SUM(C38:C40)</f>
        <v>538.88300000000004</v>
      </c>
      <c r="D41" s="30">
        <f t="shared" ref="D41:T41" si="16">SUM(D38:D40)</f>
        <v>17.333022625045089</v>
      </c>
      <c r="E41" s="30">
        <f t="shared" si="16"/>
        <v>17.333022625045089</v>
      </c>
      <c r="F41" s="30">
        <f t="shared" si="16"/>
        <v>17.333022625045089</v>
      </c>
      <c r="G41" s="30">
        <f t="shared" si="16"/>
        <v>17.333022625045089</v>
      </c>
      <c r="H41" s="30">
        <f t="shared" si="16"/>
        <v>17.333022625045089</v>
      </c>
      <c r="I41" s="30">
        <f t="shared" si="16"/>
        <v>17.333022625045089</v>
      </c>
      <c r="J41" s="31">
        <f t="shared" si="16"/>
        <v>17.333022625045089</v>
      </c>
      <c r="K41" s="31">
        <f t="shared" si="16"/>
        <v>17.333022625045089</v>
      </c>
      <c r="L41" s="31">
        <f t="shared" si="16"/>
        <v>17.333022625045089</v>
      </c>
      <c r="M41" s="31">
        <f t="shared" si="16"/>
        <v>363.99302262504511</v>
      </c>
      <c r="N41" s="31">
        <f t="shared" si="16"/>
        <v>17.333022625045089</v>
      </c>
      <c r="O41" s="31">
        <f t="shared" si="16"/>
        <v>17.333022625045089</v>
      </c>
      <c r="P41" s="31">
        <f t="shared" si="16"/>
        <v>17.333022625045089</v>
      </c>
      <c r="Q41" s="31">
        <f t="shared" si="16"/>
        <v>17.333022625045089</v>
      </c>
      <c r="R41" s="31">
        <f t="shared" si="16"/>
        <v>17.333022625045089</v>
      </c>
      <c r="S41" s="31">
        <f t="shared" si="16"/>
        <v>17.333022625045089</v>
      </c>
      <c r="T41" s="31">
        <f t="shared" si="16"/>
        <v>17.333022625045089</v>
      </c>
      <c r="U41" s="31">
        <f t="shared" ref="U41:AB41" si="17">SUM(U38:U40)</f>
        <v>17.333022625045089</v>
      </c>
      <c r="V41" s="31">
        <f t="shared" si="17"/>
        <v>17.333022625045089</v>
      </c>
      <c r="W41" s="31">
        <f t="shared" si="17"/>
        <v>363.99302262504511</v>
      </c>
      <c r="X41" s="31">
        <f t="shared" si="17"/>
        <v>17.333022625045089</v>
      </c>
      <c r="Y41" s="31">
        <f t="shared" si="17"/>
        <v>17.333022625045089</v>
      </c>
      <c r="Z41" s="31">
        <f t="shared" si="17"/>
        <v>17.333022625045089</v>
      </c>
      <c r="AA41" s="31">
        <f t="shared" si="17"/>
        <v>17.333022625045089</v>
      </c>
      <c r="AB41" s="31">
        <f t="shared" si="17"/>
        <v>17.333022625045089</v>
      </c>
      <c r="AC41" s="31">
        <f>SUM(AC38:AC40)</f>
        <v>17.333022625045089</v>
      </c>
      <c r="AD41" s="31">
        <f>SUM(AD38:AD40)</f>
        <v>17.333022625045089</v>
      </c>
      <c r="AE41" s="31">
        <f>SUM(AE38:AE40)</f>
        <v>17.333022625045089</v>
      </c>
      <c r="AF41" s="31">
        <f t="shared" ref="AF41:AG41" si="18">SUM(AF38:AF40)</f>
        <v>17.333022625045089</v>
      </c>
      <c r="AG41" s="31">
        <f t="shared" si="18"/>
        <v>363.99302262504511</v>
      </c>
    </row>
    <row r="42" spans="1:33" s="8" customFormat="1" ht="8.25" customHeight="1" x14ac:dyDescent="0.25">
      <c r="A42" s="32"/>
      <c r="B42" s="22"/>
      <c r="C42" s="33"/>
      <c r="D42" s="33"/>
      <c r="E42" s="33"/>
      <c r="F42" s="33"/>
      <c r="G42" s="33"/>
      <c r="H42" s="33"/>
      <c r="I42" s="33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</row>
    <row r="43" spans="1:33" s="16" customFormat="1" ht="18" customHeight="1" x14ac:dyDescent="0.25">
      <c r="A43" s="35" t="s">
        <v>13</v>
      </c>
      <c r="B43" s="22"/>
      <c r="C43" s="36">
        <f t="shared" ref="C43:AG43" si="19">+C35-C41</f>
        <v>-538.88300000000004</v>
      </c>
      <c r="D43" s="36">
        <f t="shared" si="19"/>
        <v>1715.5254061549549</v>
      </c>
      <c r="E43" s="36">
        <f t="shared" si="19"/>
        <v>330.05230311677303</v>
      </c>
      <c r="F43" s="36">
        <f t="shared" si="19"/>
        <v>516.89920007859132</v>
      </c>
      <c r="G43" s="36">
        <f t="shared" si="19"/>
        <v>703.74609704040927</v>
      </c>
      <c r="H43" s="36">
        <f t="shared" si="19"/>
        <v>890.59299400222767</v>
      </c>
      <c r="I43" s="36">
        <f t="shared" si="19"/>
        <v>1077.4398909640458</v>
      </c>
      <c r="J43" s="37">
        <f t="shared" si="19"/>
        <v>1264.286787925864</v>
      </c>
      <c r="K43" s="37">
        <f t="shared" si="19"/>
        <v>1451.133684887682</v>
      </c>
      <c r="L43" s="37">
        <f t="shared" si="19"/>
        <v>1637.9805818495001</v>
      </c>
      <c r="M43" s="37">
        <f t="shared" si="19"/>
        <v>1478.1674788113182</v>
      </c>
      <c r="N43" s="37">
        <f t="shared" si="19"/>
        <v>2011.6743757731365</v>
      </c>
      <c r="O43" s="37">
        <f t="shared" si="19"/>
        <v>2198.5212727349549</v>
      </c>
      <c r="P43" s="37">
        <f t="shared" si="19"/>
        <v>2359.0597015149547</v>
      </c>
      <c r="Q43" s="37">
        <f t="shared" si="19"/>
        <v>2519.5981302949549</v>
      </c>
      <c r="R43" s="37">
        <f t="shared" si="19"/>
        <v>2680.1365590749551</v>
      </c>
      <c r="S43" s="37">
        <f t="shared" si="19"/>
        <v>2840.6749878549545</v>
      </c>
      <c r="T43" s="37">
        <f t="shared" si="19"/>
        <v>3001.2134166349542</v>
      </c>
      <c r="U43" s="37">
        <f t="shared" si="19"/>
        <v>3161.751845414954</v>
      </c>
      <c r="V43" s="37">
        <f t="shared" si="19"/>
        <v>3322.2902741949538</v>
      </c>
      <c r="W43" s="37">
        <f t="shared" si="19"/>
        <v>3136.1687029749537</v>
      </c>
      <c r="X43" s="37">
        <f t="shared" si="19"/>
        <v>3643.3671317549533</v>
      </c>
      <c r="Y43" s="37">
        <f t="shared" si="19"/>
        <v>3803.9055605349531</v>
      </c>
      <c r="Z43" s="37">
        <f t="shared" si="19"/>
        <v>3964.4439893149529</v>
      </c>
      <c r="AA43" s="37">
        <f t="shared" si="19"/>
        <v>4124.9824180949518</v>
      </c>
      <c r="AB43" s="37">
        <f t="shared" si="19"/>
        <v>4285.5208468749515</v>
      </c>
      <c r="AC43" s="37">
        <f t="shared" si="19"/>
        <v>4446.0592756549513</v>
      </c>
      <c r="AD43" s="37">
        <f t="shared" si="19"/>
        <v>4606.5977044349511</v>
      </c>
      <c r="AE43" s="37">
        <f t="shared" si="19"/>
        <v>4767.1361332149509</v>
      </c>
      <c r="AF43" s="37">
        <f t="shared" si="19"/>
        <v>4927.6745619949497</v>
      </c>
      <c r="AG43" s="37">
        <f t="shared" si="19"/>
        <v>4741.5529907749496</v>
      </c>
    </row>
    <row r="44" spans="1:33" s="8" customFormat="1" ht="18" customHeight="1" thickBot="1" x14ac:dyDescent="0.3">
      <c r="A44" s="38" t="s">
        <v>14</v>
      </c>
      <c r="B44" s="39">
        <v>0.05</v>
      </c>
      <c r="C44" s="40"/>
      <c r="D44" s="41"/>
      <c r="E44" s="41"/>
      <c r="F44" s="41"/>
      <c r="G44" s="41"/>
      <c r="H44" s="41"/>
      <c r="I44" s="41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</row>
    <row r="45" spans="1:33" s="8" customFormat="1" ht="18" customHeight="1" thickBot="1" x14ac:dyDescent="0.3">
      <c r="A45" s="43" t="s">
        <v>15</v>
      </c>
      <c r="B45" s="44">
        <f>IF(B46&lt;0,"n/a",IRR(C43:AG43,B44))</f>
        <v>2.485955012875003</v>
      </c>
      <c r="C45" s="45"/>
      <c r="D45" s="41"/>
      <c r="E45" s="41"/>
      <c r="F45" s="41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</row>
    <row r="46" spans="1:33" s="8" customFormat="1" ht="18" customHeight="1" thickBot="1" x14ac:dyDescent="0.3">
      <c r="A46" s="43" t="s">
        <v>16</v>
      </c>
      <c r="B46" s="47">
        <f>+ROUND(NPV(B44,C43:AG43),2)</f>
        <v>31274.38</v>
      </c>
      <c r="C46" s="48" t="s">
        <v>17</v>
      </c>
      <c r="D46" s="41"/>
      <c r="E46" s="41"/>
      <c r="F46" s="41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</row>
    <row r="47" spans="1:33" s="8" customFormat="1" ht="18" customHeight="1" thickBot="1" x14ac:dyDescent="0.3">
      <c r="A47" s="49" t="s">
        <v>18</v>
      </c>
      <c r="B47" s="50">
        <f>NPV(B44,C35:AG35)/NPV(B44,C41:AG41)</f>
        <v>27.719039422405299</v>
      </c>
      <c r="C47" s="45"/>
      <c r="D47" s="42"/>
      <c r="E47" s="42"/>
      <c r="F47" s="42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</row>
    <row r="48" spans="1:33" s="51" customFormat="1" ht="18" customHeight="1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</row>
    <row r="49" spans="1:33" s="51" customFormat="1" x14ac:dyDescent="0.25">
      <c r="A49" s="52"/>
      <c r="B49" s="53"/>
      <c r="C49" s="54"/>
      <c r="D49" s="55"/>
      <c r="E49" s="55"/>
      <c r="F49" s="55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</row>
    <row r="50" spans="1:33" x14ac:dyDescent="0.25">
      <c r="A50" s="52"/>
      <c r="B50" s="53"/>
      <c r="C50" s="54"/>
      <c r="D50" s="55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</row>
    <row r="51" spans="1:33" x14ac:dyDescent="0.25">
      <c r="A51" s="52"/>
      <c r="B51" s="53"/>
      <c r="C51" s="54"/>
      <c r="D51" s="55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</row>
    <row r="52" spans="1:33" x14ac:dyDescent="0.25">
      <c r="A52" s="52"/>
      <c r="B52" s="53"/>
      <c r="C52" s="54"/>
      <c r="D52" s="55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</row>
    <row r="53" spans="1:33" x14ac:dyDescent="0.25">
      <c r="A53" s="52"/>
      <c r="B53" s="53"/>
      <c r="C53" s="54"/>
      <c r="D53" s="55"/>
    </row>
    <row r="54" spans="1:33" x14ac:dyDescent="0.25">
      <c r="A54" s="52"/>
      <c r="B54" s="53"/>
      <c r="C54" s="54"/>
      <c r="D54" s="55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</row>
    <row r="55" spans="1:33" x14ac:dyDescent="0.25">
      <c r="A55" s="52"/>
      <c r="B55" s="53"/>
      <c r="C55" s="54"/>
      <c r="D55" s="55"/>
    </row>
    <row r="56" spans="1:33" x14ac:dyDescent="0.25">
      <c r="A56" s="52"/>
      <c r="B56" s="53"/>
      <c r="C56" s="54"/>
      <c r="D56" s="55"/>
    </row>
    <row r="57" spans="1:33" ht="15" x14ac:dyDescent="0.25">
      <c r="A57" s="52"/>
      <c r="B57" s="53"/>
      <c r="C57" s="54"/>
      <c r="D57" s="55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7"/>
      <c r="AB57" s="57"/>
      <c r="AC57" s="57"/>
      <c r="AD57" s="57"/>
      <c r="AE57" s="57"/>
      <c r="AF57" s="57"/>
      <c r="AG57" s="57"/>
    </row>
    <row r="58" spans="1:33" ht="15" x14ac:dyDescent="0.25">
      <c r="A58" s="52"/>
      <c r="B58" s="53"/>
      <c r="C58" s="54"/>
      <c r="D58" s="55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  <c r="W58" s="57"/>
      <c r="X58" s="57"/>
      <c r="Y58" s="57"/>
      <c r="Z58" s="57"/>
      <c r="AA58" s="57"/>
      <c r="AB58" s="57"/>
      <c r="AC58" s="57"/>
      <c r="AD58" s="57"/>
      <c r="AE58" s="57"/>
      <c r="AF58" s="57"/>
      <c r="AG58" s="57"/>
    </row>
    <row r="59" spans="1:33" x14ac:dyDescent="0.2">
      <c r="A59" s="58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</row>
    <row r="60" spans="1:33" x14ac:dyDescent="0.25">
      <c r="A60" s="58"/>
      <c r="B60" s="60"/>
    </row>
    <row r="61" spans="1:33" x14ac:dyDescent="0.25">
      <c r="A61" s="58"/>
    </row>
    <row r="62" spans="1:33" x14ac:dyDescent="0.25">
      <c r="A62" s="58"/>
    </row>
    <row r="64" spans="1:33" ht="15" hidden="1" x14ac:dyDescent="0.25">
      <c r="B64" s="492" t="s">
        <v>229</v>
      </c>
      <c r="C64" s="205"/>
      <c r="D64" s="205"/>
      <c r="E64" s="205"/>
      <c r="F64" s="205"/>
      <c r="G64" s="205"/>
      <c r="H64" s="205"/>
      <c r="I64" s="205"/>
      <c r="J64" s="205"/>
      <c r="K64" s="205"/>
      <c r="L64" s="205"/>
      <c r="M64" s="205"/>
      <c r="N64" s="205"/>
      <c r="O64" s="205"/>
      <c r="P64" s="205"/>
      <c r="Q64" s="205"/>
      <c r="R64" s="205"/>
      <c r="S64" s="205"/>
      <c r="T64" s="205"/>
      <c r="U64" s="205"/>
      <c r="V64" s="205"/>
      <c r="W64" s="205"/>
      <c r="X64" s="205"/>
      <c r="Y64" s="205"/>
      <c r="Z64" s="205"/>
      <c r="AA64" s="205"/>
      <c r="AB64" s="205"/>
      <c r="AC64" s="205"/>
      <c r="AD64" s="205"/>
      <c r="AE64" s="205"/>
      <c r="AF64" s="205"/>
    </row>
    <row r="65" spans="2:32" ht="15" hidden="1" x14ac:dyDescent="0.25">
      <c r="B65" s="493" t="s">
        <v>230</v>
      </c>
      <c r="C65" s="205"/>
      <c r="D65" s="205"/>
      <c r="E65" s="205"/>
      <c r="F65" s="205"/>
      <c r="G65" s="205"/>
      <c r="H65" s="205"/>
      <c r="I65" s="205"/>
      <c r="J65" s="205"/>
      <c r="K65" s="205"/>
      <c r="L65" s="205"/>
      <c r="M65" s="205"/>
      <c r="N65" s="205"/>
      <c r="O65" s="205"/>
      <c r="P65" s="205"/>
      <c r="Q65" s="205"/>
      <c r="R65" s="205"/>
      <c r="S65" s="205"/>
      <c r="T65" s="205"/>
      <c r="U65" s="205"/>
      <c r="V65" s="205"/>
      <c r="W65" s="205"/>
      <c r="X65" s="205"/>
      <c r="Y65" s="205"/>
      <c r="Z65" s="205"/>
      <c r="AA65" s="205"/>
      <c r="AB65" s="205"/>
      <c r="AC65" s="205"/>
      <c r="AD65" s="205"/>
      <c r="AE65" s="205"/>
      <c r="AF65" s="205"/>
    </row>
    <row r="66" spans="2:32" ht="15" hidden="1" x14ac:dyDescent="0.25">
      <c r="B66" s="205"/>
      <c r="C66" s="205"/>
      <c r="D66" s="205"/>
      <c r="E66" s="205"/>
      <c r="F66" s="205"/>
      <c r="G66" s="205"/>
      <c r="H66" s="205"/>
      <c r="I66" s="205"/>
      <c r="J66" s="205"/>
      <c r="K66" s="205"/>
      <c r="L66" s="205"/>
      <c r="M66" s="205"/>
      <c r="N66" s="205"/>
      <c r="O66" s="205"/>
      <c r="P66" s="205"/>
      <c r="Q66" s="205"/>
      <c r="R66" s="205"/>
      <c r="S66" s="205"/>
      <c r="T66" s="205"/>
      <c r="U66" s="205"/>
      <c r="V66" s="205"/>
      <c r="W66" s="205"/>
      <c r="X66" s="205"/>
      <c r="Y66" s="205"/>
      <c r="Z66" s="205"/>
      <c r="AA66" s="205"/>
      <c r="AB66" s="205"/>
      <c r="AC66" s="205"/>
      <c r="AD66" s="205"/>
      <c r="AE66" s="205"/>
      <c r="AF66" s="205"/>
    </row>
    <row r="67" spans="2:32" ht="15" hidden="1" x14ac:dyDescent="0.25">
      <c r="B67" s="205" t="s">
        <v>231</v>
      </c>
      <c r="C67" s="494">
        <v>12</v>
      </c>
      <c r="D67" s="205" t="s">
        <v>232</v>
      </c>
      <c r="E67" s="205"/>
      <c r="F67" s="205"/>
      <c r="G67" s="205"/>
      <c r="H67" s="205"/>
      <c r="I67" s="205"/>
      <c r="J67" s="205"/>
      <c r="K67" s="205"/>
      <c r="L67" s="205"/>
      <c r="M67" s="205"/>
      <c r="N67" s="205"/>
      <c r="O67" s="205"/>
      <c r="P67" s="205"/>
      <c r="Q67" s="205"/>
      <c r="R67" s="205"/>
      <c r="S67" s="205"/>
      <c r="T67" s="205"/>
      <c r="U67" s="205"/>
      <c r="V67" s="205"/>
      <c r="W67" s="205"/>
      <c r="X67" s="205"/>
      <c r="Y67" s="205"/>
      <c r="Z67" s="205"/>
      <c r="AA67" s="205"/>
      <c r="AB67" s="205"/>
      <c r="AC67" s="205"/>
      <c r="AD67" s="205"/>
      <c r="AE67" s="205"/>
      <c r="AF67" s="205"/>
    </row>
    <row r="68" spans="2:32" ht="15" hidden="1" x14ac:dyDescent="0.25">
      <c r="B68" s="205" t="s">
        <v>233</v>
      </c>
      <c r="C68" s="495">
        <f>SUM('[2]4_prio_NAI_biotopi'!G9:K9)</f>
        <v>289393.15000000037</v>
      </c>
      <c r="D68" s="205" t="s">
        <v>2</v>
      </c>
      <c r="E68" s="205"/>
      <c r="F68" s="205"/>
      <c r="G68" s="205"/>
      <c r="H68" s="205"/>
      <c r="I68" s="205"/>
      <c r="J68" s="205"/>
      <c r="K68" s="205"/>
      <c r="L68" s="205"/>
      <c r="M68" s="205"/>
      <c r="N68" s="205"/>
      <c r="O68" s="205"/>
      <c r="P68" s="205"/>
      <c r="Q68" s="205"/>
      <c r="R68" s="205"/>
      <c r="S68" s="205"/>
      <c r="T68" s="205"/>
      <c r="U68" s="205"/>
      <c r="V68" s="205"/>
      <c r="W68" s="205"/>
      <c r="X68" s="205"/>
      <c r="Y68" s="205"/>
      <c r="Z68" s="205"/>
      <c r="AA68" s="205"/>
      <c r="AB68" s="205"/>
      <c r="AC68" s="205"/>
      <c r="AD68" s="205"/>
      <c r="AE68" s="205"/>
      <c r="AF68" s="205"/>
    </row>
    <row r="69" spans="2:32" ht="15" hidden="1" x14ac:dyDescent="0.25">
      <c r="B69" s="205" t="s">
        <v>234</v>
      </c>
      <c r="C69" s="496">
        <v>0</v>
      </c>
      <c r="D69" s="205" t="str">
        <f>+D68</f>
        <v>EUR</v>
      </c>
      <c r="E69" s="205"/>
      <c r="F69" s="205"/>
      <c r="G69" s="205"/>
      <c r="H69" s="205"/>
      <c r="I69" s="205"/>
      <c r="J69" s="205"/>
      <c r="K69" s="205"/>
      <c r="L69" s="205"/>
      <c r="M69" s="205"/>
      <c r="N69" s="205"/>
      <c r="O69" s="205"/>
      <c r="P69" s="205"/>
      <c r="Q69" s="205"/>
      <c r="R69" s="205"/>
      <c r="S69" s="205"/>
      <c r="T69" s="205"/>
      <c r="U69" s="205"/>
      <c r="V69" s="205"/>
      <c r="W69" s="205"/>
      <c r="X69" s="205"/>
      <c r="Y69" s="205"/>
      <c r="Z69" s="205"/>
      <c r="AA69" s="205"/>
      <c r="AB69" s="205"/>
      <c r="AC69" s="205"/>
      <c r="AD69" s="205"/>
      <c r="AE69" s="205"/>
      <c r="AF69" s="205"/>
    </row>
    <row r="70" spans="2:32" ht="15" hidden="1" x14ac:dyDescent="0.25">
      <c r="B70" s="205"/>
      <c r="C70" s="243"/>
      <c r="D70" s="205"/>
      <c r="E70" s="205"/>
      <c r="F70" s="205"/>
      <c r="G70" s="205"/>
      <c r="H70" s="205"/>
      <c r="I70" s="205"/>
      <c r="J70" s="205"/>
      <c r="K70" s="205"/>
      <c r="L70" s="205"/>
      <c r="M70" s="205"/>
      <c r="N70" s="205"/>
      <c r="O70" s="205"/>
      <c r="P70" s="205"/>
      <c r="Q70" s="205"/>
      <c r="R70" s="205"/>
      <c r="S70" s="205"/>
      <c r="T70" s="205"/>
      <c r="U70" s="205"/>
      <c r="V70" s="205"/>
      <c r="W70" s="205"/>
      <c r="X70" s="205"/>
      <c r="Y70" s="205"/>
      <c r="Z70" s="205"/>
      <c r="AA70" s="205"/>
      <c r="AB70" s="205"/>
      <c r="AC70" s="205"/>
      <c r="AD70" s="205"/>
      <c r="AE70" s="205"/>
      <c r="AF70" s="205"/>
    </row>
    <row r="71" spans="2:32" ht="15" hidden="1" x14ac:dyDescent="0.25">
      <c r="B71" s="257" t="s">
        <v>235</v>
      </c>
      <c r="C71" s="243">
        <f>+(C68-C69)/(C67-1)</f>
        <v>26308.468181818214</v>
      </c>
      <c r="D71" s="205"/>
      <c r="E71" s="205"/>
      <c r="F71" s="205"/>
      <c r="G71" s="205"/>
      <c r="H71" s="205"/>
      <c r="I71" s="205"/>
      <c r="J71" s="205"/>
      <c r="K71" s="205"/>
      <c r="L71" s="205"/>
      <c r="M71" s="205"/>
      <c r="N71" s="205"/>
      <c r="O71" s="205"/>
      <c r="P71" s="205"/>
      <c r="Q71" s="205"/>
      <c r="R71" s="205"/>
      <c r="S71" s="205"/>
      <c r="T71" s="205"/>
      <c r="U71" s="205"/>
      <c r="V71" s="205"/>
      <c r="W71" s="205"/>
      <c r="X71" s="205"/>
      <c r="Y71" s="205"/>
      <c r="Z71" s="205"/>
      <c r="AA71" s="205"/>
      <c r="AB71" s="205"/>
      <c r="AC71" s="205"/>
      <c r="AD71" s="205"/>
      <c r="AE71" s="205"/>
      <c r="AF71" s="205"/>
    </row>
    <row r="72" spans="2:32" ht="15" hidden="1" x14ac:dyDescent="0.25">
      <c r="B72" s="257" t="s">
        <v>236</v>
      </c>
      <c r="C72" s="497">
        <f>+POWER(C68,1/C67)</f>
        <v>2.8518325432274758</v>
      </c>
      <c r="D72" s="205"/>
      <c r="E72" s="205"/>
      <c r="F72" s="205"/>
      <c r="G72" s="205"/>
      <c r="H72" s="205"/>
      <c r="I72" s="205"/>
      <c r="J72" s="205"/>
      <c r="K72" s="205"/>
      <c r="L72" s="205"/>
      <c r="M72" s="205"/>
      <c r="N72" s="205"/>
      <c r="O72" s="205"/>
      <c r="P72" s="205"/>
      <c r="Q72" s="205"/>
      <c r="R72" s="205"/>
      <c r="S72" s="205"/>
      <c r="T72" s="205"/>
      <c r="U72" s="205"/>
      <c r="V72" s="205"/>
      <c r="W72" s="205"/>
      <c r="X72" s="205"/>
      <c r="Y72" s="205"/>
      <c r="Z72" s="205"/>
      <c r="AA72" s="205"/>
      <c r="AB72" s="205"/>
      <c r="AC72" s="205"/>
      <c r="AD72" s="205"/>
      <c r="AE72" s="205"/>
      <c r="AF72" s="205"/>
    </row>
    <row r="73" spans="2:32" ht="15.75" hidden="1" thickBot="1" x14ac:dyDescent="0.3">
      <c r="B73" s="205"/>
      <c r="C73" s="498">
        <v>1</v>
      </c>
      <c r="D73" s="498">
        <f t="shared" ref="D73:N73" si="20">+C73+1</f>
        <v>2</v>
      </c>
      <c r="E73" s="498">
        <f t="shared" si="20"/>
        <v>3</v>
      </c>
      <c r="F73" s="498">
        <f t="shared" si="20"/>
        <v>4</v>
      </c>
      <c r="G73" s="498">
        <f t="shared" si="20"/>
        <v>5</v>
      </c>
      <c r="H73" s="498">
        <f t="shared" si="20"/>
        <v>6</v>
      </c>
      <c r="I73" s="498">
        <f t="shared" si="20"/>
        <v>7</v>
      </c>
      <c r="J73" s="498">
        <f t="shared" si="20"/>
        <v>8</v>
      </c>
      <c r="K73" s="498">
        <f t="shared" si="20"/>
        <v>9</v>
      </c>
      <c r="L73" s="498">
        <f t="shared" si="20"/>
        <v>10</v>
      </c>
      <c r="M73" s="498">
        <f t="shared" si="20"/>
        <v>11</v>
      </c>
      <c r="N73" s="498">
        <f t="shared" si="20"/>
        <v>12</v>
      </c>
      <c r="O73" s="205"/>
      <c r="P73" s="205"/>
      <c r="Q73" s="205"/>
      <c r="R73" s="205"/>
      <c r="S73" s="205"/>
      <c r="T73" s="205"/>
      <c r="U73" s="205"/>
      <c r="V73" s="205"/>
      <c r="W73" s="205"/>
      <c r="X73" s="205"/>
      <c r="Y73" s="205"/>
      <c r="Z73" s="205"/>
      <c r="AA73" s="205"/>
      <c r="AB73" s="205"/>
      <c r="AC73" s="205"/>
      <c r="AD73" s="205"/>
      <c r="AE73" s="205"/>
      <c r="AF73" s="205"/>
    </row>
    <row r="74" spans="2:32" ht="15.75" hidden="1" thickBot="1" x14ac:dyDescent="0.3">
      <c r="B74" s="205"/>
      <c r="C74" s="243">
        <f>+C69</f>
        <v>0</v>
      </c>
      <c r="D74" s="243">
        <f>+C74+C71</f>
        <v>26308.468181818214</v>
      </c>
      <c r="E74" s="243">
        <f t="shared" ref="E74:N74" si="21">+D74+$C$71</f>
        <v>52616.936363636429</v>
      </c>
      <c r="F74" s="243">
        <f t="shared" si="21"/>
        <v>78925.404545454643</v>
      </c>
      <c r="G74" s="243">
        <f t="shared" si="21"/>
        <v>105233.87272727286</v>
      </c>
      <c r="H74" s="243">
        <f t="shared" si="21"/>
        <v>131542.34090909106</v>
      </c>
      <c r="I74" s="243">
        <f t="shared" si="21"/>
        <v>157850.80909090926</v>
      </c>
      <c r="J74" s="243">
        <f t="shared" si="21"/>
        <v>184159.27727272746</v>
      </c>
      <c r="K74" s="243">
        <f t="shared" si="21"/>
        <v>210467.74545454566</v>
      </c>
      <c r="L74" s="243">
        <f t="shared" si="21"/>
        <v>236776.21363636386</v>
      </c>
      <c r="M74" s="243">
        <f t="shared" si="21"/>
        <v>263084.68181818206</v>
      </c>
      <c r="N74" s="499">
        <f t="shared" si="21"/>
        <v>289393.15000000026</v>
      </c>
      <c r="O74" s="205"/>
      <c r="P74" s="205"/>
      <c r="Q74" s="205"/>
      <c r="R74" s="205"/>
      <c r="S74" s="205"/>
      <c r="T74" s="205"/>
      <c r="U74" s="205"/>
      <c r="V74" s="205"/>
      <c r="W74" s="205"/>
      <c r="X74" s="205"/>
      <c r="Y74" s="205"/>
      <c r="Z74" s="205"/>
      <c r="AA74" s="205"/>
      <c r="AB74" s="205"/>
      <c r="AC74" s="205"/>
      <c r="AD74" s="205"/>
      <c r="AE74" s="205"/>
      <c r="AF74" s="205"/>
    </row>
    <row r="75" spans="2:32" ht="15" hidden="1" x14ac:dyDescent="0.25">
      <c r="B75" s="205"/>
      <c r="C75" s="243"/>
      <c r="D75" s="243"/>
      <c r="E75" s="243"/>
      <c r="F75" s="243"/>
      <c r="G75" s="243"/>
      <c r="H75" s="243"/>
      <c r="I75" s="243"/>
      <c r="J75" s="243"/>
      <c r="K75" s="243"/>
      <c r="L75" s="243"/>
      <c r="M75" s="243"/>
      <c r="N75" s="243"/>
      <c r="O75" s="205"/>
      <c r="P75" s="205"/>
      <c r="Q75" s="205"/>
      <c r="R75" s="205"/>
      <c r="S75" s="205"/>
      <c r="T75" s="205"/>
      <c r="U75" s="205"/>
      <c r="V75" s="205"/>
      <c r="W75" s="205"/>
      <c r="X75" s="205"/>
      <c r="Y75" s="205"/>
      <c r="Z75" s="205"/>
      <c r="AA75" s="205"/>
      <c r="AB75" s="205"/>
      <c r="AC75" s="205"/>
      <c r="AD75" s="205"/>
      <c r="AE75" s="205"/>
      <c r="AF75" s="205"/>
    </row>
    <row r="76" spans="2:32" ht="15" hidden="1" x14ac:dyDescent="0.25">
      <c r="B76" s="205"/>
      <c r="C76" s="205"/>
      <c r="D76" s="243"/>
      <c r="E76" s="243"/>
      <c r="F76" s="243"/>
      <c r="G76" s="243"/>
      <c r="H76" s="243"/>
      <c r="I76" s="243"/>
      <c r="J76" s="243"/>
      <c r="K76" s="243"/>
      <c r="L76" s="243"/>
      <c r="M76" s="205"/>
      <c r="N76" s="205"/>
      <c r="O76" s="205"/>
      <c r="P76" s="205"/>
      <c r="Q76" s="205"/>
      <c r="R76" s="205"/>
      <c r="S76" s="205"/>
      <c r="T76" s="205"/>
      <c r="U76" s="205"/>
      <c r="V76" s="205"/>
      <c r="W76" s="205"/>
      <c r="X76" s="205"/>
      <c r="Y76" s="205"/>
      <c r="Z76" s="205"/>
      <c r="AA76" s="205"/>
      <c r="AB76" s="205"/>
      <c r="AC76" s="205"/>
      <c r="AD76" s="205"/>
      <c r="AE76" s="205"/>
      <c r="AF76" s="205"/>
    </row>
    <row r="77" spans="2:32" ht="15" hidden="1" x14ac:dyDescent="0.25">
      <c r="B77" s="205"/>
      <c r="C77" s="205"/>
      <c r="D77" s="205"/>
      <c r="E77" s="205"/>
      <c r="F77" s="205"/>
      <c r="G77" s="205"/>
      <c r="H77" s="205"/>
      <c r="I77" s="205"/>
      <c r="J77" s="205"/>
      <c r="K77" s="205"/>
      <c r="L77" s="205"/>
      <c r="M77" s="205"/>
      <c r="N77" s="205"/>
      <c r="O77" s="205"/>
      <c r="P77" s="205"/>
      <c r="Q77" s="205"/>
      <c r="R77" s="205"/>
      <c r="S77" s="205"/>
      <c r="T77" s="205"/>
      <c r="U77" s="205"/>
      <c r="V77" s="205"/>
      <c r="W77" s="205"/>
      <c r="X77" s="205"/>
      <c r="Y77" s="205"/>
      <c r="Z77" s="205"/>
      <c r="AA77" s="205"/>
      <c r="AB77" s="205"/>
      <c r="AC77" s="205"/>
      <c r="AD77" s="205"/>
      <c r="AE77" s="205"/>
      <c r="AF77" s="205"/>
    </row>
    <row r="78" spans="2:32" ht="15" hidden="1" x14ac:dyDescent="0.25">
      <c r="B78" s="205"/>
      <c r="C78" s="243"/>
      <c r="D78" s="205"/>
      <c r="E78" s="205"/>
      <c r="F78" s="205"/>
      <c r="G78" s="205"/>
      <c r="H78" s="205"/>
      <c r="I78" s="205"/>
      <c r="J78" s="205"/>
      <c r="K78" s="205"/>
      <c r="L78" s="205"/>
      <c r="M78" s="205"/>
      <c r="N78" s="205"/>
      <c r="O78" s="205"/>
      <c r="P78" s="205"/>
      <c r="Q78" s="205"/>
      <c r="R78" s="205"/>
      <c r="S78" s="205"/>
      <c r="T78" s="205"/>
      <c r="U78" s="205"/>
      <c r="V78" s="205"/>
      <c r="W78" s="205"/>
      <c r="X78" s="205"/>
      <c r="Y78" s="205"/>
      <c r="Z78" s="205"/>
      <c r="AA78" s="205"/>
      <c r="AB78" s="205"/>
      <c r="AC78" s="205"/>
      <c r="AD78" s="205"/>
      <c r="AE78" s="205"/>
      <c r="AF78" s="205"/>
    </row>
    <row r="79" spans="2:32" ht="15" hidden="1" x14ac:dyDescent="0.25">
      <c r="B79" s="205" t="s">
        <v>231</v>
      </c>
      <c r="C79" s="494">
        <v>30</v>
      </c>
      <c r="D79" s="205" t="s">
        <v>232</v>
      </c>
      <c r="E79" s="205"/>
      <c r="F79" s="205"/>
      <c r="G79" s="205"/>
      <c r="H79" s="205"/>
      <c r="I79" s="205"/>
      <c r="J79" s="205"/>
      <c r="K79" s="205"/>
      <c r="L79" s="205"/>
      <c r="M79" s="205"/>
      <c r="N79" s="205"/>
      <c r="O79" s="205"/>
      <c r="P79" s="205"/>
      <c r="Q79" s="205"/>
      <c r="R79" s="205"/>
      <c r="S79" s="205"/>
      <c r="T79" s="205"/>
      <c r="U79" s="205"/>
      <c r="V79" s="205"/>
      <c r="W79" s="205"/>
      <c r="X79" s="205"/>
      <c r="Y79" s="205"/>
      <c r="Z79" s="205"/>
      <c r="AA79" s="205"/>
      <c r="AB79" s="205"/>
      <c r="AC79" s="205"/>
      <c r="AD79" s="205"/>
      <c r="AE79" s="205"/>
      <c r="AF79" s="205"/>
    </row>
    <row r="80" spans="2:32" ht="15" hidden="1" x14ac:dyDescent="0.25">
      <c r="B80" s="205" t="s">
        <v>237</v>
      </c>
      <c r="C80" s="494">
        <f>+C79-C67+1</f>
        <v>19</v>
      </c>
      <c r="D80" s="205" t="s">
        <v>238</v>
      </c>
      <c r="E80" s="500" t="s">
        <v>239</v>
      </c>
      <c r="F80" s="205"/>
      <c r="G80" s="205"/>
      <c r="H80" s="205"/>
      <c r="I80" s="205"/>
      <c r="J80" s="205"/>
      <c r="K80" s="205"/>
      <c r="L80" s="205"/>
      <c r="M80" s="205"/>
      <c r="N80" s="205"/>
      <c r="O80" s="205"/>
      <c r="P80" s="205"/>
      <c r="Q80" s="205"/>
      <c r="R80" s="205"/>
      <c r="S80" s="205"/>
      <c r="T80" s="205"/>
      <c r="U80" s="205"/>
      <c r="V80" s="205"/>
      <c r="W80" s="205"/>
      <c r="X80" s="205"/>
      <c r="Y80" s="205"/>
      <c r="Z80" s="205"/>
      <c r="AA80" s="205"/>
      <c r="AB80" s="205"/>
      <c r="AC80" s="205"/>
      <c r="AD80" s="205"/>
      <c r="AE80" s="205"/>
      <c r="AF80" s="205"/>
    </row>
    <row r="81" spans="2:32" ht="15" hidden="1" x14ac:dyDescent="0.25">
      <c r="B81" s="205" t="s">
        <v>233</v>
      </c>
      <c r="C81" s="495">
        <f>SUM('[2]4_prio_NAI_biotopi'!G10:K10)</f>
        <v>289393.15000000037</v>
      </c>
      <c r="D81" s="205" t="s">
        <v>2</v>
      </c>
      <c r="E81" s="501">
        <f>+AF87-C81</f>
        <v>0</v>
      </c>
      <c r="F81" s="243"/>
      <c r="G81" s="205"/>
      <c r="H81" s="205"/>
      <c r="I81" s="205"/>
      <c r="J81" s="205"/>
      <c r="K81" s="205"/>
      <c r="L81" s="205"/>
      <c r="M81" s="205"/>
      <c r="N81" s="205"/>
      <c r="O81" s="205"/>
      <c r="P81" s="205"/>
      <c r="Q81" s="205"/>
      <c r="R81" s="205"/>
      <c r="S81" s="205"/>
      <c r="T81" s="205"/>
      <c r="U81" s="205"/>
      <c r="V81" s="205"/>
      <c r="W81" s="205"/>
      <c r="X81" s="205"/>
      <c r="Y81" s="205"/>
      <c r="Z81" s="205"/>
      <c r="AA81" s="205"/>
      <c r="AB81" s="205"/>
      <c r="AC81" s="205"/>
      <c r="AD81" s="205"/>
      <c r="AE81" s="205"/>
      <c r="AF81" s="205"/>
    </row>
    <row r="82" spans="2:32" ht="15" hidden="1" x14ac:dyDescent="0.25">
      <c r="B82" s="205" t="s">
        <v>234</v>
      </c>
      <c r="C82" s="502">
        <f>+C68</f>
        <v>289393.15000000037</v>
      </c>
      <c r="D82" s="205" t="str">
        <f>+D81</f>
        <v>EUR</v>
      </c>
      <c r="E82" s="205"/>
      <c r="F82" s="205"/>
      <c r="G82" s="205"/>
      <c r="H82" s="205"/>
      <c r="I82" s="205"/>
      <c r="J82" s="205"/>
      <c r="K82" s="205"/>
      <c r="L82" s="205"/>
      <c r="M82" s="205"/>
      <c r="N82" s="205"/>
      <c r="O82" s="205"/>
      <c r="P82" s="205"/>
      <c r="Q82" s="205"/>
      <c r="R82" s="205"/>
      <c r="S82" s="205"/>
      <c r="T82" s="205"/>
      <c r="U82" s="205"/>
      <c r="V82" s="205"/>
      <c r="W82" s="205"/>
      <c r="X82" s="205"/>
      <c r="Y82" s="205"/>
      <c r="Z82" s="205"/>
      <c r="AA82" s="205"/>
      <c r="AB82" s="205"/>
      <c r="AC82" s="205"/>
      <c r="AD82" s="205"/>
      <c r="AE82" s="205"/>
      <c r="AF82" s="205"/>
    </row>
    <row r="83" spans="2:32" ht="15" hidden="1" x14ac:dyDescent="0.25">
      <c r="B83" s="205"/>
      <c r="C83" s="243"/>
      <c r="D83" s="205"/>
      <c r="E83" s="205"/>
      <c r="F83" s="205"/>
      <c r="G83" s="205"/>
      <c r="H83" s="205"/>
      <c r="I83" s="205"/>
      <c r="J83" s="205"/>
      <c r="K83" s="205"/>
      <c r="L83" s="205"/>
      <c r="M83" s="205"/>
      <c r="N83" s="205"/>
      <c r="O83" s="205"/>
      <c r="P83" s="205"/>
      <c r="Q83" s="205"/>
      <c r="R83" s="205"/>
      <c r="S83" s="205"/>
      <c r="T83" s="205"/>
      <c r="U83" s="205"/>
      <c r="V83" s="205"/>
      <c r="W83" s="205"/>
      <c r="X83" s="205"/>
      <c r="Y83" s="205"/>
      <c r="Z83" s="205"/>
      <c r="AA83" s="205"/>
      <c r="AB83" s="205"/>
      <c r="AC83" s="205"/>
      <c r="AD83" s="205"/>
      <c r="AE83" s="205"/>
      <c r="AF83" s="205"/>
    </row>
    <row r="84" spans="2:32" ht="15" hidden="1" x14ac:dyDescent="0.25">
      <c r="B84" s="257" t="s">
        <v>235</v>
      </c>
      <c r="C84" s="243">
        <f>+(C81-C82)/(C80-1)</f>
        <v>0</v>
      </c>
      <c r="D84" s="205"/>
      <c r="E84" s="205"/>
      <c r="F84" s="243"/>
      <c r="G84" s="205"/>
      <c r="H84" s="205"/>
      <c r="I84" s="205"/>
      <c r="J84" s="205"/>
      <c r="K84" s="205"/>
      <c r="L84" s="205"/>
      <c r="M84" s="205"/>
      <c r="N84" s="205"/>
      <c r="O84" s="205"/>
      <c r="P84" s="205"/>
      <c r="Q84" s="205"/>
      <c r="R84" s="205"/>
      <c r="S84" s="205"/>
      <c r="T84" s="205"/>
      <c r="U84" s="205"/>
      <c r="V84" s="205"/>
      <c r="W84" s="205"/>
      <c r="X84" s="205"/>
      <c r="Y84" s="205"/>
      <c r="Z84" s="205"/>
      <c r="AA84" s="205"/>
      <c r="AB84" s="205"/>
      <c r="AC84" s="205"/>
      <c r="AD84" s="205"/>
      <c r="AE84" s="205"/>
      <c r="AF84" s="205"/>
    </row>
    <row r="85" spans="2:32" ht="15" hidden="1" x14ac:dyDescent="0.25">
      <c r="B85" s="257" t="s">
        <v>236</v>
      </c>
      <c r="C85" s="503">
        <v>1.0097121488331444</v>
      </c>
      <c r="D85" s="205"/>
      <c r="E85" s="205"/>
      <c r="F85" s="205"/>
      <c r="G85" s="205"/>
      <c r="H85" s="205"/>
      <c r="I85" s="205"/>
      <c r="J85" s="205"/>
      <c r="K85" s="205"/>
      <c r="L85" s="205"/>
      <c r="M85" s="205"/>
      <c r="N85" s="205"/>
      <c r="O85" s="205"/>
      <c r="P85" s="205"/>
      <c r="Q85" s="205"/>
      <c r="R85" s="205"/>
      <c r="S85" s="205"/>
      <c r="T85" s="205"/>
      <c r="U85" s="205"/>
      <c r="V85" s="205"/>
      <c r="W85" s="205"/>
      <c r="X85" s="205"/>
      <c r="Y85" s="205"/>
      <c r="Z85" s="205"/>
      <c r="AA85" s="205"/>
      <c r="AB85" s="205"/>
      <c r="AC85" s="205"/>
      <c r="AD85" s="205"/>
      <c r="AE85" s="205"/>
      <c r="AF85" s="205"/>
    </row>
    <row r="86" spans="2:32" ht="15.75" hidden="1" thickBot="1" x14ac:dyDescent="0.3">
      <c r="B86" s="205"/>
      <c r="C86" s="498">
        <v>1</v>
      </c>
      <c r="D86" s="498">
        <f t="shared" ref="D86:AF86" si="22">+C86+1</f>
        <v>2</v>
      </c>
      <c r="E86" s="498">
        <f t="shared" si="22"/>
        <v>3</v>
      </c>
      <c r="F86" s="498">
        <f t="shared" si="22"/>
        <v>4</v>
      </c>
      <c r="G86" s="498">
        <f t="shared" si="22"/>
        <v>5</v>
      </c>
      <c r="H86" s="498">
        <f t="shared" si="22"/>
        <v>6</v>
      </c>
      <c r="I86" s="498">
        <f t="shared" si="22"/>
        <v>7</v>
      </c>
      <c r="J86" s="498">
        <f t="shared" si="22"/>
        <v>8</v>
      </c>
      <c r="K86" s="498">
        <f t="shared" si="22"/>
        <v>9</v>
      </c>
      <c r="L86" s="498">
        <f t="shared" si="22"/>
        <v>10</v>
      </c>
      <c r="M86" s="498">
        <f t="shared" si="22"/>
        <v>11</v>
      </c>
      <c r="N86" s="498">
        <f t="shared" si="22"/>
        <v>12</v>
      </c>
      <c r="O86" s="498">
        <f t="shared" si="22"/>
        <v>13</v>
      </c>
      <c r="P86" s="498">
        <f t="shared" si="22"/>
        <v>14</v>
      </c>
      <c r="Q86" s="498">
        <f t="shared" si="22"/>
        <v>15</v>
      </c>
      <c r="R86" s="498">
        <f t="shared" si="22"/>
        <v>16</v>
      </c>
      <c r="S86" s="498">
        <f t="shared" si="22"/>
        <v>17</v>
      </c>
      <c r="T86" s="498">
        <f t="shared" si="22"/>
        <v>18</v>
      </c>
      <c r="U86" s="498">
        <f t="shared" si="22"/>
        <v>19</v>
      </c>
      <c r="V86" s="498">
        <f t="shared" si="22"/>
        <v>20</v>
      </c>
      <c r="W86" s="498">
        <f t="shared" si="22"/>
        <v>21</v>
      </c>
      <c r="X86" s="498">
        <f t="shared" si="22"/>
        <v>22</v>
      </c>
      <c r="Y86" s="498">
        <f t="shared" si="22"/>
        <v>23</v>
      </c>
      <c r="Z86" s="498">
        <f t="shared" si="22"/>
        <v>24</v>
      </c>
      <c r="AA86" s="498">
        <f t="shared" si="22"/>
        <v>25</v>
      </c>
      <c r="AB86" s="498">
        <f t="shared" si="22"/>
        <v>26</v>
      </c>
      <c r="AC86" s="498">
        <f t="shared" si="22"/>
        <v>27</v>
      </c>
      <c r="AD86" s="498">
        <f t="shared" si="22"/>
        <v>28</v>
      </c>
      <c r="AE86" s="498">
        <f t="shared" si="22"/>
        <v>29</v>
      </c>
      <c r="AF86" s="498">
        <f t="shared" si="22"/>
        <v>30</v>
      </c>
    </row>
    <row r="87" spans="2:32" ht="15.75" hidden="1" thickBot="1" x14ac:dyDescent="0.3">
      <c r="B87" s="205"/>
      <c r="C87" s="243">
        <f t="shared" ref="C87:N87" si="23">+C74</f>
        <v>0</v>
      </c>
      <c r="D87" s="243">
        <f t="shared" si="23"/>
        <v>26308.468181818214</v>
      </c>
      <c r="E87" s="243">
        <f t="shared" si="23"/>
        <v>52616.936363636429</v>
      </c>
      <c r="F87" s="243">
        <f t="shared" si="23"/>
        <v>78925.404545454643</v>
      </c>
      <c r="G87" s="243">
        <f t="shared" si="23"/>
        <v>105233.87272727286</v>
      </c>
      <c r="H87" s="243">
        <f t="shared" si="23"/>
        <v>131542.34090909106</v>
      </c>
      <c r="I87" s="243">
        <f t="shared" si="23"/>
        <v>157850.80909090926</v>
      </c>
      <c r="J87" s="243">
        <f t="shared" si="23"/>
        <v>184159.27727272746</v>
      </c>
      <c r="K87" s="243">
        <f t="shared" si="23"/>
        <v>210467.74545454566</v>
      </c>
      <c r="L87" s="243">
        <f t="shared" si="23"/>
        <v>236776.21363636386</v>
      </c>
      <c r="M87" s="243">
        <f t="shared" si="23"/>
        <v>263084.68181818206</v>
      </c>
      <c r="N87" s="499">
        <f t="shared" si="23"/>
        <v>289393.15000000026</v>
      </c>
      <c r="O87" s="243">
        <f t="shared" ref="O87:AF87" si="24">+N87+$C$84</f>
        <v>289393.15000000026</v>
      </c>
      <c r="P87" s="243">
        <f t="shared" si="24"/>
        <v>289393.15000000026</v>
      </c>
      <c r="Q87" s="243">
        <f t="shared" si="24"/>
        <v>289393.15000000026</v>
      </c>
      <c r="R87" s="243">
        <f t="shared" si="24"/>
        <v>289393.15000000026</v>
      </c>
      <c r="S87" s="243">
        <f t="shared" si="24"/>
        <v>289393.15000000026</v>
      </c>
      <c r="T87" s="243">
        <f t="shared" si="24"/>
        <v>289393.15000000026</v>
      </c>
      <c r="U87" s="243">
        <f t="shared" si="24"/>
        <v>289393.15000000026</v>
      </c>
      <c r="V87" s="243">
        <f t="shared" si="24"/>
        <v>289393.15000000026</v>
      </c>
      <c r="W87" s="243">
        <f t="shared" si="24"/>
        <v>289393.15000000026</v>
      </c>
      <c r="X87" s="243">
        <f t="shared" si="24"/>
        <v>289393.15000000026</v>
      </c>
      <c r="Y87" s="243">
        <f t="shared" si="24"/>
        <v>289393.15000000026</v>
      </c>
      <c r="Z87" s="243">
        <f t="shared" si="24"/>
        <v>289393.15000000026</v>
      </c>
      <c r="AA87" s="243">
        <f t="shared" si="24"/>
        <v>289393.15000000026</v>
      </c>
      <c r="AB87" s="243">
        <f t="shared" si="24"/>
        <v>289393.15000000026</v>
      </c>
      <c r="AC87" s="243">
        <f t="shared" si="24"/>
        <v>289393.15000000026</v>
      </c>
      <c r="AD87" s="243">
        <f t="shared" si="24"/>
        <v>289393.15000000026</v>
      </c>
      <c r="AE87" s="243">
        <f t="shared" si="24"/>
        <v>289393.15000000026</v>
      </c>
      <c r="AF87" s="499">
        <f t="shared" si="24"/>
        <v>289393.15000000026</v>
      </c>
    </row>
    <row r="88" spans="2:32" ht="15" hidden="1" x14ac:dyDescent="0.25">
      <c r="B88" s="205"/>
      <c r="C88" s="243"/>
      <c r="D88" s="243"/>
      <c r="E88" s="243"/>
      <c r="F88" s="243"/>
      <c r="G88" s="243"/>
      <c r="H88" s="243"/>
      <c r="I88" s="243"/>
      <c r="J88" s="243"/>
      <c r="K88" s="243"/>
      <c r="L88" s="243"/>
      <c r="M88" s="243"/>
      <c r="N88" s="504"/>
      <c r="O88" s="504"/>
      <c r="P88" s="504"/>
      <c r="Q88" s="504"/>
      <c r="R88" s="504"/>
      <c r="S88" s="504"/>
      <c r="T88" s="504"/>
      <c r="U88" s="504"/>
      <c r="V88" s="504"/>
      <c r="W88" s="504"/>
      <c r="X88" s="504"/>
      <c r="Y88" s="504"/>
      <c r="Z88" s="504"/>
      <c r="AA88" s="504"/>
      <c r="AB88" s="504"/>
      <c r="AC88" s="504"/>
      <c r="AD88" s="504"/>
      <c r="AE88" s="504"/>
      <c r="AF88" s="504"/>
    </row>
    <row r="89" spans="2:32" ht="15" hidden="1" x14ac:dyDescent="0.25">
      <c r="B89" s="205"/>
      <c r="C89" s="205"/>
      <c r="D89" s="205"/>
      <c r="E89" s="205"/>
      <c r="F89" s="205"/>
      <c r="G89" s="205"/>
      <c r="H89" s="205"/>
      <c r="I89" s="205"/>
      <c r="J89" s="205"/>
      <c r="K89" s="205"/>
      <c r="L89" s="205"/>
      <c r="M89" s="205"/>
      <c r="N89" s="501">
        <f>+N87-N74</f>
        <v>0</v>
      </c>
      <c r="O89" s="205"/>
      <c r="P89" s="205"/>
      <c r="Q89" s="205"/>
      <c r="R89" s="205"/>
      <c r="S89" s="205"/>
      <c r="T89" s="205"/>
      <c r="U89" s="205"/>
      <c r="V89" s="205"/>
      <c r="W89" s="205"/>
      <c r="X89" s="205"/>
      <c r="Y89" s="205"/>
      <c r="Z89" s="205"/>
      <c r="AA89" s="205"/>
      <c r="AB89" s="205"/>
      <c r="AC89" s="205"/>
      <c r="AD89" s="205"/>
      <c r="AE89" s="205"/>
      <c r="AF89" s="243"/>
    </row>
    <row r="90" spans="2:32" hidden="1" x14ac:dyDescent="0.25">
      <c r="N90" s="500" t="s">
        <v>239</v>
      </c>
    </row>
  </sheetData>
  <sheetProtection formatColumns="0" formatRows="0" insertColumns="0" insertRows="0" insertHyperlinks="0" deleteColumns="0" deleteRows="0" sort="0" autoFilter="0" pivotTables="0"/>
  <pageMargins left="0.27559055118110237" right="0.27559055118110237" top="0.51181102362204722" bottom="0.43307086614173229" header="0.31496062992125984" footer="0.15748031496062992"/>
  <pageSetup paperSize="9" scale="50" orientation="landscape" r:id="rId1"/>
  <headerFooter>
    <oddFooter>&amp;C&amp;A&amp;RLapa &amp;P no 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X49"/>
  <sheetViews>
    <sheetView view="pageBreakPreview" topLeftCell="A4" zoomScale="70" zoomScaleNormal="85" zoomScaleSheetLayoutView="70" workbookViewId="0">
      <selection activeCell="X26" sqref="X26"/>
    </sheetView>
  </sheetViews>
  <sheetFormatPr defaultRowHeight="15" x14ac:dyDescent="0.25"/>
  <cols>
    <col min="1" max="1" width="2.25" style="205" customWidth="1"/>
    <col min="2" max="2" width="4.25" style="205" hidden="1" customWidth="1"/>
    <col min="3" max="3" width="9" style="205"/>
    <col min="4" max="4" width="8.625" style="205" customWidth="1"/>
    <col min="5" max="6" width="8" style="205" customWidth="1"/>
    <col min="7" max="20" width="6.75" style="205" customWidth="1"/>
    <col min="21" max="21" width="0.25" style="205" customWidth="1"/>
    <col min="22" max="22" width="5.375" style="205" customWidth="1"/>
    <col min="23" max="23" width="8.875" style="205" customWidth="1"/>
    <col min="24" max="24" width="9" style="205"/>
    <col min="25" max="25" width="23.375" style="205" customWidth="1"/>
    <col min="26" max="27" width="16.625" style="205" customWidth="1"/>
    <col min="28" max="39" width="15.375" style="205" customWidth="1"/>
    <col min="40" max="42" width="23.375" style="205" customWidth="1"/>
    <col min="43" max="43" width="12.875" style="205" hidden="1" customWidth="1"/>
    <col min="44" max="44" width="12.75" style="205" hidden="1" customWidth="1"/>
    <col min="45" max="16384" width="9" style="205"/>
  </cols>
  <sheetData>
    <row r="1" spans="2:50" ht="18" x14ac:dyDescent="0.25">
      <c r="D1" s="326"/>
      <c r="E1" s="327" t="s">
        <v>128</v>
      </c>
      <c r="F1" s="328">
        <v>3.5000000000000003E-2</v>
      </c>
      <c r="G1" s="326"/>
      <c r="Y1" s="330" t="s">
        <v>145</v>
      </c>
      <c r="Z1" s="330"/>
      <c r="AA1" s="330"/>
      <c r="AB1" s="330"/>
      <c r="AC1" s="330"/>
      <c r="AD1" s="330"/>
      <c r="AE1" s="330"/>
      <c r="AF1" s="330"/>
      <c r="AG1" s="330"/>
      <c r="AH1" s="330"/>
      <c r="AI1" s="330"/>
      <c r="AJ1" s="330"/>
      <c r="AK1" s="330"/>
      <c r="AL1" s="330"/>
      <c r="AM1" s="330"/>
      <c r="AN1" s="330"/>
      <c r="AO1" s="330"/>
      <c r="AP1" s="330"/>
      <c r="AQ1" s="258" t="s">
        <v>140</v>
      </c>
      <c r="AR1" s="258" t="s">
        <v>142</v>
      </c>
    </row>
    <row r="2" spans="2:50" x14ac:dyDescent="0.25">
      <c r="D2" s="326"/>
      <c r="E2" s="327" t="s">
        <v>129</v>
      </c>
      <c r="F2" s="328">
        <v>0.04</v>
      </c>
      <c r="G2" s="326"/>
      <c r="Y2" s="331">
        <f>INTERCEPT(T7:T40,C7:C40)</f>
        <v>42400.952118272042</v>
      </c>
      <c r="Z2" s="331"/>
      <c r="AA2" s="331"/>
      <c r="AB2" s="331"/>
      <c r="AC2" s="331"/>
      <c r="AD2" s="331"/>
      <c r="AE2" s="331"/>
      <c r="AF2" s="331"/>
      <c r="AG2" s="331"/>
      <c r="AH2" s="331"/>
      <c r="AI2" s="331"/>
      <c r="AJ2" s="331"/>
      <c r="AK2" s="331"/>
      <c r="AL2" s="331"/>
      <c r="AM2" s="331"/>
      <c r="AN2" s="331"/>
      <c r="AO2" s="331"/>
      <c r="AP2" s="331"/>
      <c r="AQ2" s="268">
        <f>EXP(INDEX(LINEST(LN(T7:T40),C7:C40),1,2))</f>
        <v>642.59315876752646</v>
      </c>
      <c r="AR2" s="268">
        <f>INDEX(LINEST(T7:T40, LN(C7:C40)), 1)</f>
        <v>52585.932983044091</v>
      </c>
      <c r="AS2" s="242"/>
    </row>
    <row r="3" spans="2:50" x14ac:dyDescent="0.25">
      <c r="D3" s="326"/>
      <c r="E3" s="326"/>
      <c r="F3" s="329">
        <v>1</v>
      </c>
      <c r="G3" s="326"/>
      <c r="T3" s="241"/>
      <c r="Y3" s="331">
        <f>SLOPE(T7:T40,C7:C40)</f>
        <v>979.17290208421957</v>
      </c>
      <c r="Z3" s="331"/>
      <c r="AA3" s="331"/>
      <c r="AB3" s="331"/>
      <c r="AC3" s="331"/>
      <c r="AD3" s="331"/>
      <c r="AE3" s="331"/>
      <c r="AF3" s="331"/>
      <c r="AG3" s="331"/>
      <c r="AH3" s="331"/>
      <c r="AI3" s="331"/>
      <c r="AJ3" s="331"/>
      <c r="AK3" s="331"/>
      <c r="AL3" s="331"/>
      <c r="AM3" s="331"/>
      <c r="AN3" s="331"/>
      <c r="AO3" s="331"/>
      <c r="AP3" s="331"/>
      <c r="AQ3" s="269">
        <f>INDEX(LINEST(LN(T7:T40), C7:C40), 1)</f>
        <v>3.6539911814160664E-2</v>
      </c>
      <c r="AR3" s="268">
        <f>INDEX(LINEST(T7:T40, LN(C7:C40)), 1, 2)</f>
        <v>-105930.20759547062</v>
      </c>
      <c r="AS3" s="242"/>
    </row>
    <row r="4" spans="2:50" ht="15.75" x14ac:dyDescent="0.25">
      <c r="D4" s="303" t="s">
        <v>152</v>
      </c>
      <c r="T4" s="241"/>
      <c r="W4" s="303" t="s">
        <v>155</v>
      </c>
      <c r="Y4" s="268"/>
      <c r="Z4" s="268"/>
      <c r="AA4" s="268"/>
      <c r="AB4" s="268"/>
      <c r="AC4" s="268"/>
      <c r="AD4" s="268"/>
      <c r="AE4" s="268"/>
      <c r="AF4" s="268"/>
      <c r="AG4" s="268"/>
      <c r="AH4" s="268"/>
      <c r="AI4" s="268"/>
      <c r="AJ4" s="268"/>
      <c r="AK4" s="268"/>
      <c r="AL4" s="268"/>
      <c r="AM4" s="268"/>
      <c r="AN4" s="268"/>
      <c r="AO4" s="268"/>
      <c r="AP4" s="268"/>
      <c r="AQ4" s="269"/>
      <c r="AR4" s="268"/>
      <c r="AS4" s="242"/>
    </row>
    <row r="5" spans="2:50" ht="15.75" thickBot="1" x14ac:dyDescent="0.3">
      <c r="T5" s="241"/>
      <c r="Y5" s="268"/>
      <c r="Z5" s="268"/>
      <c r="AA5" s="268"/>
      <c r="AB5" s="268"/>
      <c r="AC5" s="268"/>
      <c r="AD5" s="268"/>
      <c r="AE5" s="268"/>
      <c r="AF5" s="268"/>
      <c r="AG5" s="268"/>
      <c r="AH5" s="268"/>
      <c r="AI5" s="268"/>
      <c r="AJ5" s="268"/>
      <c r="AK5" s="268"/>
      <c r="AL5" s="268"/>
      <c r="AM5" s="268"/>
      <c r="AN5" s="268"/>
      <c r="AO5" s="268"/>
      <c r="AP5" s="268"/>
      <c r="AQ5" s="269"/>
      <c r="AR5" s="268"/>
      <c r="AS5" s="242"/>
    </row>
    <row r="6" spans="2:50" ht="30" x14ac:dyDescent="0.25">
      <c r="B6" s="304"/>
      <c r="C6" s="305" t="s">
        <v>130</v>
      </c>
      <c r="D6" s="306" t="s">
        <v>144</v>
      </c>
      <c r="E6" s="307" t="s">
        <v>1</v>
      </c>
      <c r="F6" s="308" t="s">
        <v>2</v>
      </c>
      <c r="G6" s="316" t="str">
        <f t="shared" ref="G6:T6" si="0">+G44</f>
        <v>2005</v>
      </c>
      <c r="H6" s="307" t="str">
        <f t="shared" si="0"/>
        <v>2006</v>
      </c>
      <c r="I6" s="307" t="str">
        <f t="shared" si="0"/>
        <v>2007</v>
      </c>
      <c r="J6" s="307" t="str">
        <f t="shared" si="0"/>
        <v>2008</v>
      </c>
      <c r="K6" s="307" t="str">
        <f t="shared" si="0"/>
        <v>2009</v>
      </c>
      <c r="L6" s="307" t="str">
        <f t="shared" si="0"/>
        <v>2010</v>
      </c>
      <c r="M6" s="307" t="str">
        <f t="shared" si="0"/>
        <v>2011</v>
      </c>
      <c r="N6" s="307" t="str">
        <f t="shared" si="0"/>
        <v>2012</v>
      </c>
      <c r="O6" s="307" t="str">
        <f t="shared" si="0"/>
        <v>2013</v>
      </c>
      <c r="P6" s="307" t="str">
        <f t="shared" si="0"/>
        <v>2014</v>
      </c>
      <c r="Q6" s="307" t="str">
        <f t="shared" si="0"/>
        <v>2015</v>
      </c>
      <c r="R6" s="307" t="str">
        <f t="shared" si="0"/>
        <v>2016</v>
      </c>
      <c r="S6" s="320" t="str">
        <f t="shared" si="0"/>
        <v>2017</v>
      </c>
      <c r="T6" s="323" t="str">
        <f t="shared" si="0"/>
        <v>2018</v>
      </c>
      <c r="W6" s="335" t="s">
        <v>153</v>
      </c>
      <c r="X6" s="299" t="s">
        <v>156</v>
      </c>
      <c r="Y6" s="336" t="s">
        <v>154</v>
      </c>
      <c r="Z6" s="418"/>
      <c r="AA6" s="418"/>
      <c r="AB6" s="418"/>
      <c r="AC6" s="418"/>
      <c r="AD6" s="418"/>
      <c r="AE6" s="418"/>
      <c r="AF6" s="418"/>
      <c r="AG6" s="418"/>
      <c r="AH6" s="418"/>
      <c r="AI6" s="418"/>
      <c r="AJ6" s="418"/>
      <c r="AK6" s="418"/>
      <c r="AL6" s="418"/>
      <c r="AM6" s="418"/>
      <c r="AN6" s="418"/>
      <c r="AO6" s="418"/>
      <c r="AP6" s="418"/>
      <c r="AQ6" s="332" t="s">
        <v>141</v>
      </c>
      <c r="AR6" s="263" t="s">
        <v>143</v>
      </c>
    </row>
    <row r="7" spans="2:50" x14ac:dyDescent="0.25">
      <c r="B7" s="309">
        <v>1</v>
      </c>
      <c r="C7" s="261">
        <v>7</v>
      </c>
      <c r="D7" s="260">
        <v>2005</v>
      </c>
      <c r="E7" s="298">
        <v>15100</v>
      </c>
      <c r="F7" s="310">
        <f t="shared" ref="F7:F24" si="1">+E7/0.702804*$F$3*(1+$F$1)*(1+$F$2)</f>
        <v>23126.846176174298</v>
      </c>
      <c r="G7" s="317">
        <f>+F7*G45/100</f>
        <v>23126.846176174298</v>
      </c>
      <c r="H7" s="262"/>
      <c r="I7" s="262"/>
      <c r="J7" s="262"/>
      <c r="K7" s="262"/>
      <c r="L7" s="262"/>
      <c r="M7" s="262"/>
      <c r="N7" s="262"/>
      <c r="O7" s="262"/>
      <c r="P7" s="262"/>
      <c r="Q7" s="262"/>
      <c r="R7" s="262"/>
      <c r="S7" s="321"/>
      <c r="T7" s="324">
        <f>+G7*T45/100</f>
        <v>41582.069424761386</v>
      </c>
      <c r="U7" s="242"/>
      <c r="V7" s="267"/>
      <c r="W7" s="300"/>
      <c r="X7" s="300"/>
      <c r="Y7" s="300"/>
      <c r="Z7" s="419"/>
      <c r="AA7" s="419"/>
      <c r="AB7" s="419"/>
      <c r="AC7" s="419"/>
      <c r="AD7" s="419"/>
      <c r="AE7" s="419"/>
      <c r="AF7" s="419"/>
      <c r="AG7" s="419"/>
      <c r="AH7" s="419"/>
      <c r="AI7" s="419"/>
      <c r="AJ7" s="419"/>
      <c r="AK7" s="419"/>
      <c r="AL7" s="419"/>
      <c r="AM7" s="419"/>
      <c r="AN7" s="419"/>
      <c r="AO7" s="419"/>
      <c r="AP7" s="419"/>
      <c r="AQ7" s="267"/>
      <c r="AR7" s="267"/>
      <c r="AS7" s="267"/>
      <c r="AV7" s="243"/>
    </row>
    <row r="8" spans="2:50" x14ac:dyDescent="0.25">
      <c r="B8" s="309">
        <f t="shared" ref="B8:B41" si="2">1+B7</f>
        <v>2</v>
      </c>
      <c r="C8" s="261">
        <v>17.61</v>
      </c>
      <c r="D8" s="260">
        <v>2009</v>
      </c>
      <c r="E8" s="298">
        <v>31800</v>
      </c>
      <c r="F8" s="310">
        <f t="shared" si="1"/>
        <v>48704.21909949289</v>
      </c>
      <c r="G8" s="317"/>
      <c r="H8" s="262"/>
      <c r="I8" s="262"/>
      <c r="J8" s="262"/>
      <c r="K8" s="262">
        <f>+F8</f>
        <v>48704.21909949289</v>
      </c>
      <c r="L8" s="262"/>
      <c r="M8" s="262"/>
      <c r="N8" s="262"/>
      <c r="O8" s="262"/>
      <c r="P8" s="262"/>
      <c r="Q8" s="262"/>
      <c r="R8" s="262"/>
      <c r="S8" s="321"/>
      <c r="T8" s="324">
        <f>+K8*$T$45/$K$45</f>
        <v>56315.232116326835</v>
      </c>
      <c r="U8" s="242"/>
      <c r="V8" s="242"/>
      <c r="W8" s="299" t="str">
        <f>+'4_prioritate_1_pielikums'!D7</f>
        <v>Bēne</v>
      </c>
      <c r="X8" s="337">
        <f>+'4_prioritate_1_pielikums'!H7</f>
        <v>65.728767123287668</v>
      </c>
      <c r="Y8" s="338">
        <f>+$Y$3*X8+$Y$2</f>
        <v>106760.77977279946</v>
      </c>
      <c r="Z8" s="420"/>
      <c r="AA8" s="420"/>
      <c r="AB8" s="420"/>
      <c r="AC8" s="420"/>
      <c r="AD8" s="420"/>
      <c r="AE8" s="420"/>
      <c r="AF8" s="420"/>
      <c r="AG8" s="420"/>
      <c r="AH8" s="420"/>
      <c r="AI8" s="420"/>
      <c r="AJ8" s="420"/>
      <c r="AK8" s="420"/>
      <c r="AL8" s="420"/>
      <c r="AM8" s="420"/>
      <c r="AN8" s="420"/>
      <c r="AO8" s="420"/>
      <c r="AP8" s="420"/>
      <c r="AQ8" s="333">
        <f>ROUND($AQ$2*EXP(1)^($AQ$3*X8),0)</f>
        <v>7096</v>
      </c>
      <c r="AR8" s="264">
        <f>+$AR$2*LN(X8)+$AR$3</f>
        <v>114170.14404196697</v>
      </c>
      <c r="AV8" s="243"/>
      <c r="AX8" s="243"/>
    </row>
    <row r="9" spans="2:50" hidden="1" x14ac:dyDescent="0.25">
      <c r="B9" s="309">
        <f t="shared" si="2"/>
        <v>3</v>
      </c>
      <c r="C9" s="261">
        <v>20</v>
      </c>
      <c r="D9" s="260">
        <v>2010</v>
      </c>
      <c r="E9" s="298">
        <v>44950</v>
      </c>
      <c r="F9" s="310">
        <f t="shared" si="1"/>
        <v>68844.48580258507</v>
      </c>
      <c r="G9" s="317"/>
      <c r="H9" s="262"/>
      <c r="I9" s="262"/>
      <c r="J9" s="262"/>
      <c r="K9" s="262"/>
      <c r="L9" s="262">
        <f>+F9</f>
        <v>68844.48580258507</v>
      </c>
      <c r="M9" s="262"/>
      <c r="N9" s="262"/>
      <c r="O9" s="262"/>
      <c r="P9" s="262"/>
      <c r="Q9" s="262"/>
      <c r="R9" s="262"/>
      <c r="S9" s="321"/>
      <c r="T9" s="324">
        <v>1E-4</v>
      </c>
      <c r="U9" s="242"/>
      <c r="V9" s="242"/>
      <c r="W9" s="299"/>
      <c r="X9" s="299"/>
      <c r="Y9" s="339"/>
      <c r="Z9" s="421"/>
      <c r="AA9" s="421"/>
      <c r="AB9" s="421"/>
      <c r="AC9" s="421"/>
      <c r="AD9" s="421"/>
      <c r="AE9" s="421"/>
      <c r="AF9" s="421"/>
      <c r="AG9" s="421"/>
      <c r="AH9" s="421"/>
      <c r="AI9" s="421"/>
      <c r="AJ9" s="421"/>
      <c r="AK9" s="421"/>
      <c r="AL9" s="421"/>
      <c r="AM9" s="421"/>
      <c r="AN9" s="421"/>
      <c r="AO9" s="421"/>
      <c r="AP9" s="421"/>
      <c r="AQ9" s="333">
        <f>ROUND($AQ$2*EXP(1)^($AQ$3*X10),0)</f>
        <v>5851</v>
      </c>
      <c r="AR9" s="264">
        <f>+$AR$2*LN(X10)+$AR$3</f>
        <v>109769.43148620983</v>
      </c>
      <c r="AV9" s="243"/>
      <c r="AX9" s="243"/>
    </row>
    <row r="10" spans="2:50" x14ac:dyDescent="0.25">
      <c r="B10" s="309">
        <f t="shared" si="2"/>
        <v>4</v>
      </c>
      <c r="C10" s="261">
        <v>25</v>
      </c>
      <c r="D10" s="260">
        <v>2011</v>
      </c>
      <c r="E10" s="298">
        <v>25000</v>
      </c>
      <c r="F10" s="310">
        <f t="shared" si="1"/>
        <v>38289.480424129622</v>
      </c>
      <c r="G10" s="317"/>
      <c r="H10" s="262"/>
      <c r="I10" s="262"/>
      <c r="J10" s="262"/>
      <c r="K10" s="262"/>
      <c r="L10" s="262"/>
      <c r="M10" s="262">
        <f>+F10</f>
        <v>38289.480424129622</v>
      </c>
      <c r="N10" s="262"/>
      <c r="O10" s="262"/>
      <c r="P10" s="262"/>
      <c r="Q10" s="262"/>
      <c r="R10" s="262"/>
      <c r="S10" s="321"/>
      <c r="T10" s="324">
        <f>+M10*$T$45/$M$45</f>
        <v>44588.397540534366</v>
      </c>
      <c r="U10" s="242"/>
      <c r="V10" s="242"/>
      <c r="W10" s="299" t="str">
        <f>+'4_prioritate_1_pielikums'!D8</f>
        <v>Līvbērze</v>
      </c>
      <c r="X10" s="337">
        <f>+'4_prioritate_1_pielikums'!H8</f>
        <v>60.452054794520556</v>
      </c>
      <c r="Y10" s="338">
        <f>+$Y$3*X10+$Y$2</f>
        <v>101593.966048377</v>
      </c>
      <c r="Z10" s="420"/>
      <c r="AA10" s="420"/>
      <c r="AB10" s="420"/>
      <c r="AC10" s="420"/>
      <c r="AD10" s="420"/>
      <c r="AE10" s="420"/>
      <c r="AF10" s="420"/>
      <c r="AG10" s="420"/>
      <c r="AH10" s="420"/>
      <c r="AI10" s="420"/>
      <c r="AJ10" s="420"/>
      <c r="AK10" s="420"/>
      <c r="AL10" s="420"/>
      <c r="AM10" s="420"/>
      <c r="AN10" s="420"/>
      <c r="AO10" s="420"/>
      <c r="AP10" s="420"/>
      <c r="AQ10" s="333">
        <f>ROUND($AQ$2*EXP(1)^($AQ$3*X11),0)</f>
        <v>311972</v>
      </c>
      <c r="AR10" s="264">
        <f>+$AR$2*LN(X11)+$AR$3</f>
        <v>163914.63143453249</v>
      </c>
      <c r="AV10" s="243"/>
      <c r="AX10" s="243"/>
    </row>
    <row r="11" spans="2:50" x14ac:dyDescent="0.25">
      <c r="B11" s="309">
        <f t="shared" si="2"/>
        <v>5</v>
      </c>
      <c r="C11" s="261">
        <v>25</v>
      </c>
      <c r="D11" s="260">
        <v>2011</v>
      </c>
      <c r="E11" s="298">
        <v>28000</v>
      </c>
      <c r="F11" s="310">
        <f t="shared" si="1"/>
        <v>42884.218075025186</v>
      </c>
      <c r="G11" s="317"/>
      <c r="H11" s="262"/>
      <c r="I11" s="262"/>
      <c r="J11" s="262"/>
      <c r="K11" s="262"/>
      <c r="L11" s="262"/>
      <c r="M11" s="262">
        <f>+F11</f>
        <v>42884.218075025186</v>
      </c>
      <c r="N11" s="262"/>
      <c r="O11" s="262"/>
      <c r="P11" s="262"/>
      <c r="Q11" s="262"/>
      <c r="R11" s="262"/>
      <c r="S11" s="321"/>
      <c r="T11" s="324">
        <f>+M11*$T$45/$M$45</f>
        <v>49939.005245398504</v>
      </c>
      <c r="U11" s="242"/>
      <c r="V11" s="242"/>
      <c r="W11" s="299" t="str">
        <f>+'4_prioritate_1_pielikums'!D9</f>
        <v>Lociki</v>
      </c>
      <c r="X11" s="337">
        <f>+'4_prioritate_1_pielikums'!H9</f>
        <v>169.27123287671233</v>
      </c>
      <c r="Y11" s="338">
        <f>+$Y$3*X11+$Y$2</f>
        <v>208146.75645353622</v>
      </c>
      <c r="Z11" s="420"/>
      <c r="AA11" s="420"/>
      <c r="AB11" s="420"/>
      <c r="AC11" s="420"/>
      <c r="AD11" s="420"/>
      <c r="AE11" s="420"/>
      <c r="AF11" s="420"/>
      <c r="AG11" s="420"/>
      <c r="AH11" s="420"/>
      <c r="AI11" s="420"/>
      <c r="AJ11" s="420"/>
      <c r="AK11" s="420"/>
      <c r="AL11" s="420"/>
      <c r="AM11" s="420"/>
      <c r="AN11" s="420"/>
      <c r="AO11" s="420"/>
      <c r="AP11" s="420"/>
      <c r="AQ11" s="333">
        <f>ROUND($AQ$2*EXP(1)^($AQ$3*X12),0)</f>
        <v>6667</v>
      </c>
      <c r="AR11" s="264">
        <f>+$AR$2*LN(X12)+$AR$3</f>
        <v>112786.54530854677</v>
      </c>
      <c r="AV11" s="243"/>
      <c r="AX11" s="243"/>
    </row>
    <row r="12" spans="2:50" ht="16.5" thickBot="1" x14ac:dyDescent="0.3">
      <c r="B12" s="309">
        <f t="shared" si="2"/>
        <v>6</v>
      </c>
      <c r="C12" s="261">
        <v>27.8</v>
      </c>
      <c r="D12" s="260">
        <v>2009</v>
      </c>
      <c r="E12" s="298">
        <v>40000</v>
      </c>
      <c r="F12" s="310">
        <f t="shared" si="1"/>
        <v>61263.168678607406</v>
      </c>
      <c r="G12" s="317"/>
      <c r="H12" s="262"/>
      <c r="I12" s="262"/>
      <c r="J12" s="262"/>
      <c r="K12" s="262">
        <f t="shared" ref="K12:K19" si="3">+F12</f>
        <v>61263.168678607406</v>
      </c>
      <c r="L12" s="262"/>
      <c r="M12" s="262"/>
      <c r="N12" s="262"/>
      <c r="O12" s="262"/>
      <c r="P12" s="262"/>
      <c r="Q12" s="262"/>
      <c r="R12" s="262"/>
      <c r="S12" s="321"/>
      <c r="T12" s="324">
        <f>+K12*$T$45/$K$45</f>
        <v>70836.769957643803</v>
      </c>
      <c r="U12" s="242"/>
      <c r="V12" s="242"/>
      <c r="W12" s="299" t="str">
        <f>+'4_prioritate_1_pielikums'!D10</f>
        <v>Skulte</v>
      </c>
      <c r="X12" s="337">
        <f>+'4_prioritate_1_pielikums'!H10</f>
        <v>64.021917808219172</v>
      </c>
      <c r="Y12" s="338">
        <f>+$Y$3*X12+$Y$2</f>
        <v>105089.47917554338</v>
      </c>
      <c r="Z12" s="420"/>
      <c r="AA12" s="420"/>
      <c r="AB12" s="420"/>
      <c r="AC12" s="420"/>
      <c r="AD12" s="420"/>
      <c r="AE12" s="420"/>
      <c r="AF12" s="420"/>
      <c r="AG12" s="420"/>
      <c r="AH12" s="420"/>
      <c r="AI12" s="420"/>
      <c r="AJ12" s="420"/>
      <c r="AK12" s="420"/>
      <c r="AL12" s="420"/>
      <c r="AM12" s="420"/>
      <c r="AN12" s="420"/>
      <c r="AO12" s="420"/>
      <c r="AP12" s="420"/>
      <c r="AQ12" s="333">
        <f>ROUND($AQ$2*EXP(1)^($AQ$3*X13),0)</f>
        <v>1074</v>
      </c>
      <c r="AR12" s="264">
        <f>+$AR$2*LN(X13)+$AR$3</f>
        <v>33103.726724942389</v>
      </c>
      <c r="AS12" s="244"/>
      <c r="AV12" s="243"/>
      <c r="AX12" s="243"/>
    </row>
    <row r="13" spans="2:50" ht="15.75" thickBot="1" x14ac:dyDescent="0.3">
      <c r="B13" s="309">
        <f t="shared" si="2"/>
        <v>7</v>
      </c>
      <c r="C13" s="261">
        <v>27.997260273972604</v>
      </c>
      <c r="D13" s="260">
        <v>2009</v>
      </c>
      <c r="E13" s="298">
        <v>45000</v>
      </c>
      <c r="F13" s="310">
        <f t="shared" si="1"/>
        <v>68921.064763433329</v>
      </c>
      <c r="G13" s="317"/>
      <c r="H13" s="262"/>
      <c r="I13" s="262"/>
      <c r="J13" s="262"/>
      <c r="K13" s="262">
        <f t="shared" si="3"/>
        <v>68921.064763433329</v>
      </c>
      <c r="L13" s="262"/>
      <c r="M13" s="262"/>
      <c r="N13" s="262"/>
      <c r="O13" s="262"/>
      <c r="P13" s="262"/>
      <c r="Q13" s="262"/>
      <c r="R13" s="262"/>
      <c r="S13" s="321"/>
      <c r="T13" s="324">
        <f>+K13*$T$45/$K$45</f>
        <v>79691.36620234928</v>
      </c>
      <c r="U13" s="242"/>
      <c r="W13" s="299" t="str">
        <f>+'4_prioritate_1_pielikums'!D11</f>
        <v>Zemgale</v>
      </c>
      <c r="X13" s="337">
        <f>+'4_prioritate_1_pielikums'!H11</f>
        <v>14.068493150684931</v>
      </c>
      <c r="Y13" s="338">
        <f>+$Y$3*X13+$Y$2</f>
        <v>56176.439384580168</v>
      </c>
      <c r="Z13" s="420"/>
      <c r="AA13" s="420"/>
      <c r="AB13" s="420"/>
      <c r="AC13" s="420"/>
      <c r="AD13" s="420"/>
      <c r="AE13" s="420"/>
      <c r="AF13" s="420"/>
      <c r="AG13" s="420"/>
      <c r="AH13" s="420"/>
      <c r="AI13" s="420"/>
      <c r="AJ13" s="420"/>
      <c r="AK13" s="420"/>
      <c r="AL13" s="420"/>
      <c r="AM13" s="420"/>
      <c r="AN13" s="420"/>
      <c r="AO13" s="420"/>
      <c r="AP13" s="420"/>
      <c r="AQ13" s="334">
        <f>SUM(AQ8:AQ12)</f>
        <v>332660</v>
      </c>
      <c r="AR13" s="265">
        <f>SUM(AR8:AR12)</f>
        <v>533744.47899619839</v>
      </c>
      <c r="AX13" s="243"/>
    </row>
    <row r="14" spans="2:50" x14ac:dyDescent="0.25">
      <c r="B14" s="309">
        <f t="shared" si="2"/>
        <v>8</v>
      </c>
      <c r="C14" s="261">
        <v>35</v>
      </c>
      <c r="D14" s="260">
        <v>2009</v>
      </c>
      <c r="E14" s="298">
        <v>50000</v>
      </c>
      <c r="F14" s="310">
        <f t="shared" si="1"/>
        <v>76578.960848259245</v>
      </c>
      <c r="G14" s="317"/>
      <c r="H14" s="262"/>
      <c r="I14" s="262"/>
      <c r="J14" s="262"/>
      <c r="K14" s="262">
        <f t="shared" si="3"/>
        <v>76578.960848259245</v>
      </c>
      <c r="L14" s="262"/>
      <c r="M14" s="262"/>
      <c r="N14" s="262"/>
      <c r="O14" s="262"/>
      <c r="P14" s="262"/>
      <c r="Q14" s="262"/>
      <c r="R14" s="262"/>
      <c r="S14" s="321"/>
      <c r="T14" s="324">
        <f>+K14*$T$45/$K$45</f>
        <v>88545.962447054742</v>
      </c>
      <c r="U14" s="242"/>
      <c r="W14" s="299"/>
      <c r="X14" s="341" t="s">
        <v>157</v>
      </c>
      <c r="Y14" s="340">
        <f>SUM(Y8:Y13)</f>
        <v>577767.4208348362</v>
      </c>
      <c r="Z14" s="422"/>
      <c r="AA14" s="422"/>
      <c r="AB14" s="422"/>
      <c r="AC14" s="422"/>
      <c r="AD14" s="422"/>
      <c r="AE14" s="422"/>
      <c r="AF14" s="422"/>
      <c r="AG14" s="422"/>
      <c r="AH14" s="422"/>
      <c r="AI14" s="422"/>
      <c r="AJ14" s="422"/>
      <c r="AK14" s="422"/>
      <c r="AL14" s="422"/>
      <c r="AM14" s="422"/>
      <c r="AN14" s="422"/>
      <c r="AO14" s="422"/>
      <c r="AP14" s="422"/>
    </row>
    <row r="15" spans="2:50" ht="15.75" hidden="1" thickBot="1" x14ac:dyDescent="0.3">
      <c r="B15" s="309">
        <f t="shared" si="2"/>
        <v>9</v>
      </c>
      <c r="C15" s="261">
        <v>35</v>
      </c>
      <c r="D15" s="260">
        <v>2009</v>
      </c>
      <c r="E15" s="298">
        <v>59095</v>
      </c>
      <c r="F15" s="310">
        <f t="shared" si="1"/>
        <v>90508.673826557628</v>
      </c>
      <c r="G15" s="317"/>
      <c r="H15" s="262"/>
      <c r="I15" s="262"/>
      <c r="J15" s="262"/>
      <c r="K15" s="262">
        <f t="shared" si="3"/>
        <v>90508.673826557628</v>
      </c>
      <c r="L15" s="262"/>
      <c r="M15" s="262"/>
      <c r="N15" s="262"/>
      <c r="O15" s="262"/>
      <c r="P15" s="262"/>
      <c r="Q15" s="262"/>
      <c r="R15" s="262"/>
      <c r="S15" s="321"/>
      <c r="T15" s="324">
        <v>1E-4</v>
      </c>
      <c r="U15" s="242"/>
      <c r="Y15" s="266">
        <f>SUM(Y8:Y14)</f>
        <v>1155534.8416696724</v>
      </c>
      <c r="Z15" s="423"/>
      <c r="AA15" s="423"/>
      <c r="AB15" s="423"/>
      <c r="AC15" s="423"/>
      <c r="AD15" s="423"/>
      <c r="AE15" s="423"/>
      <c r="AF15" s="423"/>
      <c r="AG15" s="423"/>
      <c r="AH15" s="423"/>
      <c r="AI15" s="423"/>
      <c r="AJ15" s="423"/>
      <c r="AK15" s="423"/>
      <c r="AL15" s="423"/>
      <c r="AM15" s="423"/>
      <c r="AN15" s="423"/>
      <c r="AO15" s="423"/>
      <c r="AP15" s="423"/>
      <c r="AQ15" s="243">
        <f t="shared" ref="AQ15:AR15" si="4">AVERAGE(AQ8:AQ12)</f>
        <v>66532</v>
      </c>
      <c r="AR15" s="243">
        <f t="shared" si="4"/>
        <v>106748.89579923968</v>
      </c>
    </row>
    <row r="16" spans="2:50" x14ac:dyDescent="0.25">
      <c r="B16" s="309">
        <f t="shared" si="2"/>
        <v>10</v>
      </c>
      <c r="C16" s="261">
        <v>36</v>
      </c>
      <c r="D16" s="260">
        <v>2009</v>
      </c>
      <c r="E16" s="298">
        <v>50000</v>
      </c>
      <c r="F16" s="310">
        <f t="shared" si="1"/>
        <v>76578.960848259245</v>
      </c>
      <c r="G16" s="317"/>
      <c r="H16" s="262"/>
      <c r="I16" s="262"/>
      <c r="J16" s="262"/>
      <c r="K16" s="262">
        <f>+F16</f>
        <v>76578.960848259245</v>
      </c>
      <c r="L16" s="262"/>
      <c r="M16" s="262"/>
      <c r="N16" s="262"/>
      <c r="O16" s="262"/>
      <c r="P16" s="262"/>
      <c r="Q16" s="262"/>
      <c r="R16" s="262"/>
      <c r="S16" s="321"/>
      <c r="T16" s="324">
        <f>+K16*$T$45/$K$45</f>
        <v>88545.962447054742</v>
      </c>
      <c r="U16" s="242"/>
      <c r="AQ16" s="243">
        <f>+STDEVP(AQ8:AQ12)</f>
        <v>122738.89639881891</v>
      </c>
      <c r="AR16" s="243">
        <f>+STDEVP(AR8:AR12)</f>
        <v>41933.719204524932</v>
      </c>
    </row>
    <row r="17" spans="2:46" x14ac:dyDescent="0.25">
      <c r="B17" s="309">
        <f t="shared" si="2"/>
        <v>11</v>
      </c>
      <c r="C17" s="261">
        <v>36.32</v>
      </c>
      <c r="D17" s="260">
        <v>2011</v>
      </c>
      <c r="E17" s="298">
        <v>43000</v>
      </c>
      <c r="F17" s="310">
        <f t="shared" si="1"/>
        <v>65857.906329502963</v>
      </c>
      <c r="G17" s="317"/>
      <c r="H17" s="262"/>
      <c r="I17" s="262"/>
      <c r="J17" s="262"/>
      <c r="K17" s="262"/>
      <c r="L17" s="262"/>
      <c r="M17" s="262">
        <f>+F17</f>
        <v>65857.906329502963</v>
      </c>
      <c r="N17" s="262"/>
      <c r="O17" s="262"/>
      <c r="P17" s="262"/>
      <c r="Q17" s="262"/>
      <c r="R17" s="262"/>
      <c r="S17" s="321"/>
      <c r="T17" s="324">
        <f>+M17*$T$45/$M$45</f>
        <v>76692.043769719123</v>
      </c>
      <c r="U17" s="242"/>
      <c r="AQ17" s="270">
        <f t="shared" ref="AQ17" si="5">+AQ16/AQ15</f>
        <v>1.8448099621057372</v>
      </c>
      <c r="AR17" s="270">
        <f>+AR16/AR15</f>
        <v>0.39282578888112124</v>
      </c>
    </row>
    <row r="18" spans="2:46" x14ac:dyDescent="0.25">
      <c r="B18" s="309">
        <f t="shared" si="2"/>
        <v>12</v>
      </c>
      <c r="C18" s="261">
        <v>40</v>
      </c>
      <c r="D18" s="260">
        <v>2009</v>
      </c>
      <c r="E18" s="298">
        <v>45000</v>
      </c>
      <c r="F18" s="310">
        <f t="shared" si="1"/>
        <v>68921.064763433329</v>
      </c>
      <c r="G18" s="317"/>
      <c r="H18" s="262"/>
      <c r="I18" s="262"/>
      <c r="J18" s="262"/>
      <c r="K18" s="262">
        <f t="shared" si="3"/>
        <v>68921.064763433329</v>
      </c>
      <c r="L18" s="262"/>
      <c r="M18" s="262"/>
      <c r="N18" s="262"/>
      <c r="O18" s="262"/>
      <c r="P18" s="262"/>
      <c r="Q18" s="262"/>
      <c r="R18" s="262"/>
      <c r="S18" s="321"/>
      <c r="T18" s="324">
        <f>+K18*$T$45/$K$45</f>
        <v>79691.36620234928</v>
      </c>
      <c r="U18" s="242"/>
    </row>
    <row r="19" spans="2:46" ht="15.75" x14ac:dyDescent="0.25">
      <c r="B19" s="309">
        <f t="shared" si="2"/>
        <v>13</v>
      </c>
      <c r="C19" s="261">
        <v>40</v>
      </c>
      <c r="D19" s="260">
        <v>2009</v>
      </c>
      <c r="E19" s="298">
        <v>46900</v>
      </c>
      <c r="F19" s="310">
        <f t="shared" si="1"/>
        <v>71831.065275667177</v>
      </c>
      <c r="G19" s="317"/>
      <c r="H19" s="262"/>
      <c r="I19" s="262"/>
      <c r="J19" s="262"/>
      <c r="K19" s="262">
        <f t="shared" si="3"/>
        <v>71831.065275667177</v>
      </c>
      <c r="L19" s="262"/>
      <c r="M19" s="262"/>
      <c r="N19" s="262"/>
      <c r="O19" s="262"/>
      <c r="P19" s="262"/>
      <c r="Q19" s="262"/>
      <c r="R19" s="262"/>
      <c r="S19" s="321"/>
      <c r="T19" s="324">
        <f>+K19*$T$45/$K$45</f>
        <v>83056.112775337358</v>
      </c>
      <c r="U19" s="242"/>
      <c r="X19" s="257"/>
      <c r="Y19" s="243"/>
      <c r="Z19" s="243"/>
      <c r="AA19" s="243"/>
      <c r="AB19" s="243"/>
      <c r="AC19" s="243"/>
      <c r="AD19" s="243"/>
      <c r="AE19" s="243"/>
      <c r="AF19" s="243"/>
      <c r="AG19" s="243"/>
      <c r="AH19" s="243"/>
      <c r="AI19" s="243"/>
      <c r="AJ19" s="243"/>
      <c r="AK19" s="243"/>
      <c r="AL19" s="243"/>
      <c r="AM19" s="243"/>
      <c r="AN19" s="243"/>
      <c r="AO19" s="243"/>
      <c r="AP19" s="243"/>
      <c r="AT19" s="259"/>
    </row>
    <row r="20" spans="2:46" ht="15.75" x14ac:dyDescent="0.25">
      <c r="B20" s="309">
        <f t="shared" si="2"/>
        <v>14</v>
      </c>
      <c r="C20" s="261">
        <v>45</v>
      </c>
      <c r="D20" s="260">
        <v>2008</v>
      </c>
      <c r="E20" s="298">
        <v>87262</v>
      </c>
      <c r="F20" s="310">
        <f t="shared" si="1"/>
        <v>133648.66563081599</v>
      </c>
      <c r="G20" s="317"/>
      <c r="H20" s="262"/>
      <c r="I20" s="262"/>
      <c r="J20" s="262">
        <f>+F20</f>
        <v>133648.66563081599</v>
      </c>
      <c r="K20" s="262"/>
      <c r="L20" s="262"/>
      <c r="M20" s="262"/>
      <c r="N20" s="262"/>
      <c r="O20" s="262"/>
      <c r="P20" s="262"/>
      <c r="Q20" s="262"/>
      <c r="R20" s="262"/>
      <c r="S20" s="321"/>
      <c r="T20" s="324">
        <f>+J20*T45/J45</f>
        <v>137707.90877031931</v>
      </c>
      <c r="U20" s="242"/>
      <c r="X20" s="257"/>
      <c r="Y20" s="243"/>
      <c r="Z20" s="243"/>
      <c r="AA20" s="243"/>
      <c r="AB20" s="243"/>
      <c r="AC20" s="243"/>
      <c r="AD20" s="243"/>
      <c r="AE20" s="243"/>
      <c r="AF20" s="243"/>
      <c r="AG20" s="243"/>
      <c r="AH20" s="243"/>
      <c r="AI20" s="243"/>
      <c r="AJ20" s="243"/>
      <c r="AK20" s="243"/>
      <c r="AL20" s="243"/>
      <c r="AM20" s="243"/>
      <c r="AN20" s="243"/>
      <c r="AO20" s="243"/>
      <c r="AP20" s="243"/>
      <c r="AT20" s="259"/>
    </row>
    <row r="21" spans="2:46" ht="15.75" x14ac:dyDescent="0.25">
      <c r="B21" s="309">
        <f t="shared" si="2"/>
        <v>15</v>
      </c>
      <c r="C21" s="261">
        <v>45.480000000000004</v>
      </c>
      <c r="D21" s="260">
        <v>2004</v>
      </c>
      <c r="E21" s="298">
        <v>55058</v>
      </c>
      <c r="F21" s="310">
        <f t="shared" si="1"/>
        <v>84325.688527669161</v>
      </c>
      <c r="G21" s="317">
        <f>+F21*$G$46</f>
        <v>94008.571379787245</v>
      </c>
      <c r="H21" s="262"/>
      <c r="I21" s="262"/>
      <c r="J21" s="262"/>
      <c r="K21" s="262"/>
      <c r="L21" s="262"/>
      <c r="M21" s="262"/>
      <c r="N21" s="262"/>
      <c r="O21" s="262"/>
      <c r="P21" s="262"/>
      <c r="Q21" s="262"/>
      <c r="R21" s="262"/>
      <c r="S21" s="321"/>
      <c r="T21" s="324">
        <f>+G21*$T$45/100</f>
        <v>169027.41134085748</v>
      </c>
      <c r="U21" s="242"/>
      <c r="X21" s="257"/>
      <c r="Y21" s="270"/>
      <c r="Z21" s="270"/>
      <c r="AA21" s="270"/>
      <c r="AB21" s="270"/>
      <c r="AC21" s="270"/>
      <c r="AD21" s="270"/>
      <c r="AE21" s="270"/>
      <c r="AF21" s="270"/>
      <c r="AG21" s="270"/>
      <c r="AH21" s="270"/>
      <c r="AI21" s="270"/>
      <c r="AJ21" s="270"/>
      <c r="AK21" s="270"/>
      <c r="AL21" s="270"/>
      <c r="AM21" s="270"/>
      <c r="AN21" s="270"/>
      <c r="AO21" s="270"/>
      <c r="AP21" s="270"/>
      <c r="AT21" s="259"/>
    </row>
    <row r="22" spans="2:46" ht="15.75" x14ac:dyDescent="0.25">
      <c r="B22" s="309">
        <f t="shared" si="2"/>
        <v>16</v>
      </c>
      <c r="C22" s="261">
        <v>48.516599999999997</v>
      </c>
      <c r="D22" s="260">
        <v>2004</v>
      </c>
      <c r="E22" s="298">
        <v>44900</v>
      </c>
      <c r="F22" s="310">
        <f t="shared" si="1"/>
        <v>68767.906841736811</v>
      </c>
      <c r="G22" s="317">
        <f>+F22*$G$46</f>
        <v>76664.333156897221</v>
      </c>
      <c r="H22" s="262"/>
      <c r="I22" s="262"/>
      <c r="J22" s="262"/>
      <c r="K22" s="262"/>
      <c r="L22" s="262"/>
      <c r="M22" s="262"/>
      <c r="N22" s="262"/>
      <c r="O22" s="262"/>
      <c r="P22" s="262"/>
      <c r="Q22" s="262"/>
      <c r="R22" s="262"/>
      <c r="S22" s="321"/>
      <c r="T22" s="324">
        <f>+G22*$T$45/100</f>
        <v>137842.47101610119</v>
      </c>
      <c r="U22" s="242"/>
      <c r="AR22" s="243"/>
      <c r="AT22" s="259"/>
    </row>
    <row r="23" spans="2:46" ht="15.75" x14ac:dyDescent="0.25">
      <c r="B23" s="309">
        <f t="shared" si="2"/>
        <v>17</v>
      </c>
      <c r="C23" s="261">
        <v>50</v>
      </c>
      <c r="D23" s="260">
        <v>2009</v>
      </c>
      <c r="E23" s="298">
        <v>65700</v>
      </c>
      <c r="F23" s="310">
        <f t="shared" si="1"/>
        <v>100624.75455461268</v>
      </c>
      <c r="G23" s="317"/>
      <c r="H23" s="262"/>
      <c r="I23" s="262"/>
      <c r="J23" s="262"/>
      <c r="K23" s="262">
        <f>+F23</f>
        <v>100624.75455461268</v>
      </c>
      <c r="L23" s="262"/>
      <c r="M23" s="262"/>
      <c r="N23" s="262"/>
      <c r="O23" s="262"/>
      <c r="P23" s="262"/>
      <c r="Q23" s="262"/>
      <c r="R23" s="262"/>
      <c r="S23" s="321"/>
      <c r="T23" s="324">
        <f>+K23*$T$45/$K$45</f>
        <v>116349.39465542998</v>
      </c>
      <c r="U23" s="242"/>
      <c r="AS23" s="242"/>
      <c r="AT23" s="259"/>
    </row>
    <row r="24" spans="2:46" ht="15.75" x14ac:dyDescent="0.25">
      <c r="B24" s="309">
        <f t="shared" si="2"/>
        <v>18</v>
      </c>
      <c r="C24" s="261">
        <v>50</v>
      </c>
      <c r="D24" s="260">
        <v>2009</v>
      </c>
      <c r="E24" s="298">
        <v>60000</v>
      </c>
      <c r="F24" s="310">
        <f t="shared" si="1"/>
        <v>91894.753017911105</v>
      </c>
      <c r="G24" s="317"/>
      <c r="H24" s="262"/>
      <c r="I24" s="262"/>
      <c r="J24" s="262"/>
      <c r="K24" s="262">
        <f>+F24</f>
        <v>91894.753017911105</v>
      </c>
      <c r="L24" s="262"/>
      <c r="M24" s="262"/>
      <c r="N24" s="262"/>
      <c r="O24" s="262"/>
      <c r="P24" s="262"/>
      <c r="Q24" s="262"/>
      <c r="R24" s="262"/>
      <c r="S24" s="321"/>
      <c r="T24" s="324">
        <f>+K24*$T$45/$K$45</f>
        <v>106255.15493646571</v>
      </c>
      <c r="U24" s="242"/>
      <c r="Y24" s="245"/>
      <c r="Z24" s="245"/>
      <c r="AA24" s="245"/>
      <c r="AB24" s="245"/>
      <c r="AC24" s="245"/>
      <c r="AD24" s="245"/>
      <c r="AE24" s="245"/>
      <c r="AF24" s="245"/>
      <c r="AG24" s="245"/>
      <c r="AH24" s="245"/>
      <c r="AI24" s="245"/>
      <c r="AJ24" s="245"/>
      <c r="AK24" s="245"/>
      <c r="AL24" s="245"/>
      <c r="AM24" s="245"/>
      <c r="AN24" s="245"/>
      <c r="AO24" s="245"/>
      <c r="AP24" s="245"/>
      <c r="AR24"/>
      <c r="AS24" s="242"/>
      <c r="AT24" s="259"/>
    </row>
    <row r="25" spans="2:46" ht="15.75" hidden="1" x14ac:dyDescent="0.25">
      <c r="B25" s="309">
        <f t="shared" si="2"/>
        <v>19</v>
      </c>
      <c r="C25" s="261">
        <v>50</v>
      </c>
      <c r="D25" s="260">
        <v>2013</v>
      </c>
      <c r="E25" s="298"/>
      <c r="F25" s="310">
        <f>30000*(1+$F$1)*(1+$F$2)</f>
        <v>32291.999999999996</v>
      </c>
      <c r="G25" s="317"/>
      <c r="H25" s="262"/>
      <c r="I25" s="262"/>
      <c r="J25" s="262"/>
      <c r="K25" s="262"/>
      <c r="L25" s="262"/>
      <c r="M25" s="262"/>
      <c r="N25" s="262"/>
      <c r="O25" s="262">
        <f>+F25</f>
        <v>32291.999999999996</v>
      </c>
      <c r="P25" s="262"/>
      <c r="Q25" s="262"/>
      <c r="R25" s="262"/>
      <c r="S25" s="321"/>
      <c r="T25" s="324">
        <v>1E-4</v>
      </c>
      <c r="U25" s="242"/>
      <c r="AQ25" s="257"/>
      <c r="AS25" s="242"/>
      <c r="AT25" s="259"/>
    </row>
    <row r="26" spans="2:46" ht="15.75" x14ac:dyDescent="0.25">
      <c r="B26" s="309">
        <f t="shared" si="2"/>
        <v>20</v>
      </c>
      <c r="C26" s="261">
        <v>50</v>
      </c>
      <c r="D26" s="260">
        <v>2011</v>
      </c>
      <c r="E26" s="298">
        <v>64300</v>
      </c>
      <c r="F26" s="310">
        <f t="shared" ref="F26:F31" si="6">+E26/0.702804*$F$3*(1+$F$1)*(1+$F$2)</f>
        <v>98480.543650861408</v>
      </c>
      <c r="G26" s="317"/>
      <c r="H26" s="262"/>
      <c r="I26" s="262"/>
      <c r="J26" s="262"/>
      <c r="K26" s="262"/>
      <c r="L26" s="262"/>
      <c r="M26" s="262">
        <f>+F26</f>
        <v>98480.543650861408</v>
      </c>
      <c r="N26" s="262"/>
      <c r="O26" s="262"/>
      <c r="P26" s="262"/>
      <c r="Q26" s="262"/>
      <c r="R26" s="262"/>
      <c r="S26" s="321"/>
      <c r="T26" s="324">
        <f>+M26*$T$45/$M$45</f>
        <v>114681.35847425442</v>
      </c>
      <c r="U26" s="242"/>
      <c r="AQ26" s="257"/>
      <c r="AS26" s="242"/>
      <c r="AT26" s="259"/>
    </row>
    <row r="27" spans="2:46" ht="15.75" x14ac:dyDescent="0.25">
      <c r="B27" s="309">
        <f t="shared" si="2"/>
        <v>21</v>
      </c>
      <c r="C27" s="261">
        <v>60</v>
      </c>
      <c r="D27" s="260">
        <v>2009</v>
      </c>
      <c r="E27" s="298">
        <v>65000</v>
      </c>
      <c r="F27" s="310">
        <f t="shared" si="6"/>
        <v>99552.649102737036</v>
      </c>
      <c r="G27" s="317"/>
      <c r="H27" s="262"/>
      <c r="I27" s="262"/>
      <c r="J27" s="262"/>
      <c r="K27" s="262">
        <f>+F27</f>
        <v>99552.649102737036</v>
      </c>
      <c r="L27" s="262"/>
      <c r="M27" s="262"/>
      <c r="N27" s="262"/>
      <c r="O27" s="262"/>
      <c r="P27" s="262"/>
      <c r="Q27" s="262"/>
      <c r="R27" s="262"/>
      <c r="S27" s="321"/>
      <c r="T27" s="324">
        <f>+K27*$T$45/$K$45</f>
        <v>115109.75118117119</v>
      </c>
      <c r="U27" s="242"/>
      <c r="AQ27" s="257"/>
      <c r="AR27" s="242"/>
      <c r="AS27" s="242"/>
      <c r="AT27" s="259"/>
    </row>
    <row r="28" spans="2:46" ht="15.75" hidden="1" x14ac:dyDescent="0.25">
      <c r="B28" s="309">
        <f t="shared" si="2"/>
        <v>22</v>
      </c>
      <c r="C28" s="261">
        <v>60</v>
      </c>
      <c r="D28" s="260">
        <v>2010</v>
      </c>
      <c r="E28" s="298">
        <v>45090</v>
      </c>
      <c r="F28" s="310">
        <f t="shared" si="6"/>
        <v>69058.906892960193</v>
      </c>
      <c r="G28" s="317"/>
      <c r="H28" s="262"/>
      <c r="I28" s="262"/>
      <c r="J28" s="262"/>
      <c r="K28" s="262"/>
      <c r="L28" s="262">
        <f>+F28</f>
        <v>69058.906892960193</v>
      </c>
      <c r="M28" s="262"/>
      <c r="N28" s="262"/>
      <c r="O28" s="262"/>
      <c r="P28" s="262"/>
      <c r="Q28" s="262"/>
      <c r="R28" s="262"/>
      <c r="S28" s="321"/>
      <c r="T28" s="324">
        <v>1E-4</v>
      </c>
      <c r="U28" s="242"/>
      <c r="AQ28" s="257"/>
      <c r="AR28" s="242"/>
      <c r="AS28" s="242"/>
      <c r="AT28" s="259"/>
    </row>
    <row r="29" spans="2:46" x14ac:dyDescent="0.25">
      <c r="B29" s="309">
        <f t="shared" si="2"/>
        <v>23</v>
      </c>
      <c r="C29" s="261">
        <v>62.356164383561641</v>
      </c>
      <c r="D29" s="260">
        <v>2009</v>
      </c>
      <c r="E29" s="298">
        <v>80000</v>
      </c>
      <c r="F29" s="310">
        <f t="shared" si="6"/>
        <v>122526.33735721481</v>
      </c>
      <c r="G29" s="317"/>
      <c r="H29" s="262"/>
      <c r="I29" s="262"/>
      <c r="J29" s="262"/>
      <c r="K29" s="262">
        <f t="shared" ref="K29:K31" si="7">+F29</f>
        <v>122526.33735721481</v>
      </c>
      <c r="L29" s="262"/>
      <c r="M29" s="262"/>
      <c r="N29" s="262"/>
      <c r="O29" s="262"/>
      <c r="P29" s="262"/>
      <c r="Q29" s="262"/>
      <c r="R29" s="262"/>
      <c r="S29" s="321"/>
      <c r="T29" s="324">
        <f>+K29*$T$45/$K$45</f>
        <v>141673.53991528761</v>
      </c>
      <c r="U29" s="242"/>
    </row>
    <row r="30" spans="2:46" x14ac:dyDescent="0.25">
      <c r="B30" s="309">
        <f t="shared" si="2"/>
        <v>24</v>
      </c>
      <c r="C30" s="261">
        <v>66.8</v>
      </c>
      <c r="D30" s="260">
        <v>2009</v>
      </c>
      <c r="E30" s="298">
        <v>85000</v>
      </c>
      <c r="F30" s="310">
        <f t="shared" si="6"/>
        <v>130184.23344204073</v>
      </c>
      <c r="G30" s="317"/>
      <c r="H30" s="262"/>
      <c r="I30" s="262"/>
      <c r="J30" s="262"/>
      <c r="K30" s="262">
        <f t="shared" si="7"/>
        <v>130184.23344204073</v>
      </c>
      <c r="L30" s="262"/>
      <c r="M30" s="262"/>
      <c r="N30" s="262"/>
      <c r="O30" s="262"/>
      <c r="P30" s="262"/>
      <c r="Q30" s="262"/>
      <c r="R30" s="262"/>
      <c r="S30" s="321"/>
      <c r="T30" s="324">
        <f>+K30*$T$45/$K$45</f>
        <v>150528.1361599931</v>
      </c>
      <c r="U30" s="242"/>
    </row>
    <row r="31" spans="2:46" x14ac:dyDescent="0.25">
      <c r="B31" s="309">
        <f t="shared" si="2"/>
        <v>25</v>
      </c>
      <c r="C31" s="261">
        <v>70</v>
      </c>
      <c r="D31" s="260">
        <v>2009</v>
      </c>
      <c r="E31" s="298">
        <v>82000</v>
      </c>
      <c r="F31" s="310">
        <f t="shared" si="6"/>
        <v>125589.49579114518</v>
      </c>
      <c r="G31" s="317"/>
      <c r="H31" s="262"/>
      <c r="I31" s="262"/>
      <c r="J31" s="262"/>
      <c r="K31" s="262">
        <f t="shared" si="7"/>
        <v>125589.49579114518</v>
      </c>
      <c r="L31" s="262"/>
      <c r="M31" s="262"/>
      <c r="N31" s="262"/>
      <c r="O31" s="262"/>
      <c r="P31" s="262"/>
      <c r="Q31" s="262"/>
      <c r="R31" s="262"/>
      <c r="S31" s="321"/>
      <c r="T31" s="324">
        <f>+K31*$T$45/$K$45</f>
        <v>145215.37841316982</v>
      </c>
      <c r="U31" s="242"/>
    </row>
    <row r="32" spans="2:46" hidden="1" x14ac:dyDescent="0.25">
      <c r="B32" s="309">
        <f t="shared" si="2"/>
        <v>26</v>
      </c>
      <c r="C32" s="261">
        <v>70</v>
      </c>
      <c r="D32" s="260">
        <v>2013</v>
      </c>
      <c r="E32" s="298"/>
      <c r="F32" s="310">
        <f>46600*(1+$F$1)*(1+$F$2)</f>
        <v>50160.239999999991</v>
      </c>
      <c r="G32" s="317"/>
      <c r="H32" s="262"/>
      <c r="I32" s="262"/>
      <c r="J32" s="262"/>
      <c r="K32" s="262"/>
      <c r="L32" s="262"/>
      <c r="M32" s="262"/>
      <c r="N32" s="262"/>
      <c r="O32" s="262">
        <f>+F32</f>
        <v>50160.239999999991</v>
      </c>
      <c r="P32" s="262"/>
      <c r="Q32" s="262"/>
      <c r="R32" s="262"/>
      <c r="S32" s="321"/>
      <c r="T32" s="324">
        <v>1E-4</v>
      </c>
      <c r="U32" s="242"/>
    </row>
    <row r="33" spans="2:21" x14ac:dyDescent="0.25">
      <c r="B33" s="309">
        <f t="shared" si="2"/>
        <v>27</v>
      </c>
      <c r="C33" s="261">
        <v>75</v>
      </c>
      <c r="D33" s="260">
        <v>2009</v>
      </c>
      <c r="E33" s="298">
        <v>70000</v>
      </c>
      <c r="F33" s="310">
        <f t="shared" ref="F33:F41" si="8">+E33/0.702804*$F$3*(1+$F$1)*(1+$F$2)</f>
        <v>107210.54518756295</v>
      </c>
      <c r="G33" s="317"/>
      <c r="H33" s="262"/>
      <c r="I33" s="262"/>
      <c r="J33" s="262"/>
      <c r="K33" s="262">
        <f>+F33</f>
        <v>107210.54518756295</v>
      </c>
      <c r="L33" s="262"/>
      <c r="M33" s="262"/>
      <c r="N33" s="262"/>
      <c r="O33" s="262"/>
      <c r="P33" s="262"/>
      <c r="Q33" s="262"/>
      <c r="R33" s="262"/>
      <c r="S33" s="321"/>
      <c r="T33" s="324">
        <f>+K33*$T$45/$K$45</f>
        <v>123964.34742587667</v>
      </c>
      <c r="U33" s="242"/>
    </row>
    <row r="34" spans="2:21" x14ac:dyDescent="0.25">
      <c r="B34" s="309">
        <f t="shared" si="2"/>
        <v>28</v>
      </c>
      <c r="C34" s="261">
        <v>75</v>
      </c>
      <c r="D34" s="260">
        <v>2004</v>
      </c>
      <c r="E34" s="298">
        <v>59300</v>
      </c>
      <c r="F34" s="310">
        <f t="shared" si="8"/>
        <v>90822.647566035477</v>
      </c>
      <c r="G34" s="317">
        <f>+F34*$G$46</f>
        <v>101251.55804463263</v>
      </c>
      <c r="H34" s="262"/>
      <c r="I34" s="262"/>
      <c r="J34" s="262"/>
      <c r="K34" s="262"/>
      <c r="L34" s="262"/>
      <c r="M34" s="262"/>
      <c r="N34" s="262"/>
      <c r="O34" s="262"/>
      <c r="P34" s="262"/>
      <c r="Q34" s="262"/>
      <c r="R34" s="262"/>
      <c r="S34" s="321"/>
      <c r="T34" s="324">
        <f>+G34*T45/100</f>
        <v>182050.30136424946</v>
      </c>
      <c r="U34" s="242"/>
    </row>
    <row r="35" spans="2:21" x14ac:dyDescent="0.25">
      <c r="B35" s="309">
        <f t="shared" si="2"/>
        <v>29</v>
      </c>
      <c r="C35" s="261">
        <v>80</v>
      </c>
      <c r="D35" s="260">
        <v>2006</v>
      </c>
      <c r="E35" s="298">
        <v>80000</v>
      </c>
      <c r="F35" s="310">
        <f t="shared" si="8"/>
        <v>122526.33735721481</v>
      </c>
      <c r="G35" s="317"/>
      <c r="H35" s="262">
        <f>+F35</f>
        <v>122526.33735721481</v>
      </c>
      <c r="I35" s="262"/>
      <c r="J35" s="262"/>
      <c r="K35" s="262"/>
      <c r="L35" s="262"/>
      <c r="M35" s="262"/>
      <c r="N35" s="262"/>
      <c r="O35" s="262"/>
      <c r="P35" s="262"/>
      <c r="Q35" s="262"/>
      <c r="R35" s="262"/>
      <c r="S35" s="321"/>
      <c r="T35" s="324">
        <f>+H35*T45/H45</f>
        <v>182218.65555688355</v>
      </c>
      <c r="U35" s="242"/>
    </row>
    <row r="36" spans="2:21" x14ac:dyDescent="0.25">
      <c r="B36" s="309">
        <f t="shared" si="2"/>
        <v>30</v>
      </c>
      <c r="C36" s="261">
        <v>80</v>
      </c>
      <c r="D36" s="260">
        <v>2010</v>
      </c>
      <c r="E36" s="298">
        <v>76900</v>
      </c>
      <c r="F36" s="310">
        <f t="shared" si="8"/>
        <v>117778.44178462273</v>
      </c>
      <c r="G36" s="317"/>
      <c r="H36" s="262"/>
      <c r="I36" s="262"/>
      <c r="J36" s="262"/>
      <c r="K36" s="262"/>
      <c r="L36" s="262">
        <f>+F36</f>
        <v>117778.44178462273</v>
      </c>
      <c r="M36" s="262"/>
      <c r="N36" s="262"/>
      <c r="O36" s="262"/>
      <c r="P36" s="262"/>
      <c r="Q36" s="262"/>
      <c r="R36" s="262"/>
      <c r="S36" s="321"/>
      <c r="T36" s="324">
        <f>+L36*$T$45/$L$45</f>
        <v>139964.07027676911</v>
      </c>
      <c r="U36" s="242"/>
    </row>
    <row r="37" spans="2:21" x14ac:dyDescent="0.25">
      <c r="B37" s="309">
        <f>1+B35</f>
        <v>30</v>
      </c>
      <c r="C37" s="261">
        <v>100</v>
      </c>
      <c r="D37" s="260">
        <v>2009</v>
      </c>
      <c r="E37" s="298">
        <v>75000</v>
      </c>
      <c r="F37" s="310">
        <f t="shared" si="8"/>
        <v>114868.44127238888</v>
      </c>
      <c r="G37" s="317"/>
      <c r="H37" s="262"/>
      <c r="I37" s="262"/>
      <c r="J37" s="262"/>
      <c r="K37" s="262">
        <f>+F37</f>
        <v>114868.44127238888</v>
      </c>
      <c r="L37" s="262"/>
      <c r="M37" s="262"/>
      <c r="N37" s="262"/>
      <c r="O37" s="262"/>
      <c r="P37" s="262"/>
      <c r="Q37" s="262"/>
      <c r="R37" s="262"/>
      <c r="S37" s="321"/>
      <c r="T37" s="324">
        <f>+K37*$T$45/$K$45</f>
        <v>132818.94367058214</v>
      </c>
      <c r="U37" s="242"/>
    </row>
    <row r="38" spans="2:21" x14ac:dyDescent="0.25">
      <c r="B38" s="309">
        <f t="shared" si="2"/>
        <v>31</v>
      </c>
      <c r="C38" s="261">
        <v>110</v>
      </c>
      <c r="D38" s="260">
        <v>2012</v>
      </c>
      <c r="E38" s="298">
        <v>94000</v>
      </c>
      <c r="F38" s="310">
        <f t="shared" si="8"/>
        <v>143968.44639472739</v>
      </c>
      <c r="G38" s="317"/>
      <c r="H38" s="262"/>
      <c r="I38" s="262"/>
      <c r="J38" s="262"/>
      <c r="K38" s="262"/>
      <c r="L38" s="262"/>
      <c r="M38" s="262"/>
      <c r="N38" s="262">
        <f>+F38</f>
        <v>143968.44639472739</v>
      </c>
      <c r="O38" s="262"/>
      <c r="P38" s="262"/>
      <c r="Q38" s="262"/>
      <c r="R38" s="262"/>
      <c r="S38" s="321"/>
      <c r="T38" s="324">
        <f>+N38*$T$45/$N$45</f>
        <v>156977.1174152334</v>
      </c>
      <c r="U38" s="242"/>
    </row>
    <row r="39" spans="2:21" x14ac:dyDescent="0.25">
      <c r="B39" s="309">
        <f t="shared" si="2"/>
        <v>32</v>
      </c>
      <c r="C39" s="261">
        <v>140</v>
      </c>
      <c r="D39" s="260">
        <v>2007</v>
      </c>
      <c r="E39" s="298">
        <v>95660</v>
      </c>
      <c r="F39" s="310">
        <f t="shared" si="8"/>
        <v>146510.86789488961</v>
      </c>
      <c r="G39" s="317"/>
      <c r="H39" s="262"/>
      <c r="I39" s="262">
        <f>+F39</f>
        <v>146510.86789488961</v>
      </c>
      <c r="J39" s="262"/>
      <c r="K39" s="262"/>
      <c r="L39" s="262"/>
      <c r="M39" s="262"/>
      <c r="N39" s="262"/>
      <c r="O39" s="262"/>
      <c r="P39" s="262"/>
      <c r="Q39" s="262"/>
      <c r="R39" s="262"/>
      <c r="S39" s="321"/>
      <c r="T39" s="324">
        <f>+I39*T45/I45</f>
        <v>172738.71506558135</v>
      </c>
      <c r="U39" s="242"/>
    </row>
    <row r="40" spans="2:21" x14ac:dyDescent="0.25">
      <c r="B40" s="309">
        <f t="shared" si="2"/>
        <v>33</v>
      </c>
      <c r="C40" s="260">
        <v>142.69999999999999</v>
      </c>
      <c r="D40" s="260">
        <v>2011</v>
      </c>
      <c r="E40" s="298">
        <v>67820</v>
      </c>
      <c r="F40" s="310">
        <f t="shared" si="8"/>
        <v>103871.70249457886</v>
      </c>
      <c r="G40" s="317"/>
      <c r="H40" s="262"/>
      <c r="I40" s="262"/>
      <c r="J40" s="262"/>
      <c r="K40" s="262"/>
      <c r="L40" s="262"/>
      <c r="M40" s="262">
        <f>+F40</f>
        <v>103871.70249457886</v>
      </c>
      <c r="N40" s="262"/>
      <c r="O40" s="262"/>
      <c r="P40" s="262"/>
      <c r="Q40" s="262"/>
      <c r="R40" s="262"/>
      <c r="S40" s="321"/>
      <c r="T40" s="324">
        <f>+M40*T45/M45</f>
        <v>120959.40484796165</v>
      </c>
      <c r="U40" s="242"/>
    </row>
    <row r="41" spans="2:21" ht="15.75" hidden="1" thickBot="1" x14ac:dyDescent="0.3">
      <c r="B41" s="311">
        <f t="shared" si="2"/>
        <v>34</v>
      </c>
      <c r="C41" s="312">
        <v>500</v>
      </c>
      <c r="D41" s="313">
        <v>2009</v>
      </c>
      <c r="E41" s="314">
        <v>550000</v>
      </c>
      <c r="F41" s="315">
        <f t="shared" si="8"/>
        <v>842368.56933085178</v>
      </c>
      <c r="G41" s="318"/>
      <c r="H41" s="313"/>
      <c r="I41" s="313"/>
      <c r="J41" s="313"/>
      <c r="K41" s="319">
        <f t="shared" ref="K41" si="9">+F41</f>
        <v>842368.56933085178</v>
      </c>
      <c r="L41" s="313"/>
      <c r="M41" s="313"/>
      <c r="N41" s="313"/>
      <c r="O41" s="313"/>
      <c r="P41" s="313"/>
      <c r="Q41" s="313"/>
      <c r="R41" s="313"/>
      <c r="S41" s="322"/>
      <c r="T41" s="325">
        <f>+K41*$T$45/$K$45</f>
        <v>974005.58691760234</v>
      </c>
      <c r="U41" s="242"/>
    </row>
    <row r="43" spans="2:21" ht="15.75" x14ac:dyDescent="0.25">
      <c r="B43" s="302" t="s">
        <v>151</v>
      </c>
      <c r="G43" s="301" t="s">
        <v>150</v>
      </c>
    </row>
    <row r="44" spans="2:21" ht="15.75" thickBot="1" x14ac:dyDescent="0.3">
      <c r="C44" s="246"/>
      <c r="D44" s="247" t="s">
        <v>131</v>
      </c>
      <c r="E44" s="247" t="s">
        <v>132</v>
      </c>
      <c r="F44" s="247" t="s">
        <v>133</v>
      </c>
      <c r="G44" s="247" t="s">
        <v>134</v>
      </c>
      <c r="H44" s="247" t="s">
        <v>135</v>
      </c>
      <c r="I44" s="247" t="s">
        <v>136</v>
      </c>
      <c r="J44" s="247" t="s">
        <v>137</v>
      </c>
      <c r="K44" s="247" t="s">
        <v>53</v>
      </c>
      <c r="L44" s="247" t="s">
        <v>54</v>
      </c>
      <c r="M44" s="247" t="s">
        <v>55</v>
      </c>
      <c r="N44" s="247" t="s">
        <v>56</v>
      </c>
      <c r="O44" s="247" t="s">
        <v>57</v>
      </c>
      <c r="P44" s="247" t="s">
        <v>58</v>
      </c>
      <c r="Q44" s="247" t="s">
        <v>59</v>
      </c>
      <c r="R44" s="247" t="s">
        <v>60</v>
      </c>
      <c r="S44" s="247" t="s">
        <v>61</v>
      </c>
      <c r="T44" s="248" t="s">
        <v>62</v>
      </c>
    </row>
    <row r="45" spans="2:21" ht="15.75" thickBot="1" x14ac:dyDescent="0.3">
      <c r="C45" s="249" t="s">
        <v>138</v>
      </c>
      <c r="D45" s="250">
        <v>85.5</v>
      </c>
      <c r="E45" s="250">
        <v>84.4</v>
      </c>
      <c r="F45" s="250">
        <v>89.7</v>
      </c>
      <c r="G45" s="251">
        <v>100</v>
      </c>
      <c r="H45" s="250">
        <v>120.9</v>
      </c>
      <c r="I45" s="250">
        <v>152.5</v>
      </c>
      <c r="J45" s="250">
        <v>174.5</v>
      </c>
      <c r="K45" s="250">
        <v>155.5</v>
      </c>
      <c r="L45" s="250">
        <v>151.30000000000001</v>
      </c>
      <c r="M45" s="250">
        <v>154.4</v>
      </c>
      <c r="N45" s="250">
        <v>164.9</v>
      </c>
      <c r="O45" s="250">
        <v>169.1</v>
      </c>
      <c r="P45" s="250">
        <v>169.8</v>
      </c>
      <c r="Q45" s="250">
        <v>170</v>
      </c>
      <c r="R45" s="250">
        <v>169.2</v>
      </c>
      <c r="S45" s="252">
        <v>172.3</v>
      </c>
      <c r="T45" s="253">
        <v>179.8</v>
      </c>
    </row>
    <row r="46" spans="2:21" x14ac:dyDescent="0.25">
      <c r="C46" s="249"/>
      <c r="D46" s="250"/>
      <c r="E46" s="250"/>
      <c r="F46" s="250"/>
      <c r="G46" s="342">
        <f>+G45/F45</f>
        <v>1.1148272017837235</v>
      </c>
      <c r="H46" s="254"/>
      <c r="I46" s="254"/>
      <c r="J46" s="254"/>
      <c r="K46" s="254"/>
      <c r="L46" s="254"/>
      <c r="M46" s="254"/>
      <c r="N46" s="254"/>
      <c r="O46" s="254"/>
      <c r="P46" s="254"/>
      <c r="Q46" s="254"/>
      <c r="R46" s="254"/>
      <c r="S46" s="254"/>
      <c r="T46" s="254"/>
    </row>
    <row r="47" spans="2:21" x14ac:dyDescent="0.25">
      <c r="C47" s="249" t="s">
        <v>0</v>
      </c>
      <c r="D47" s="250">
        <v>50.3</v>
      </c>
      <c r="E47" s="250">
        <v>49.6</v>
      </c>
      <c r="F47" s="250">
        <v>52.8</v>
      </c>
      <c r="G47" s="250">
        <v>58.8</v>
      </c>
      <c r="H47" s="250">
        <v>71.099999999999994</v>
      </c>
      <c r="I47" s="250">
        <v>89.7</v>
      </c>
      <c r="J47" s="250">
        <v>102.7</v>
      </c>
      <c r="K47" s="250">
        <v>91.5</v>
      </c>
      <c r="L47" s="250">
        <v>89</v>
      </c>
      <c r="M47" s="250">
        <v>90.9</v>
      </c>
      <c r="N47" s="250">
        <v>97</v>
      </c>
      <c r="O47" s="250">
        <v>99.5</v>
      </c>
      <c r="P47" s="250">
        <v>99.9</v>
      </c>
      <c r="Q47" s="251">
        <v>100</v>
      </c>
      <c r="R47" s="250">
        <v>99.5</v>
      </c>
      <c r="S47" s="250">
        <v>101.4</v>
      </c>
      <c r="T47" s="250">
        <v>105.8</v>
      </c>
    </row>
    <row r="48" spans="2:21" x14ac:dyDescent="0.25">
      <c r="C48" s="255" t="s">
        <v>139</v>
      </c>
      <c r="D48" s="250">
        <v>95.8</v>
      </c>
      <c r="E48" s="250">
        <v>98.7</v>
      </c>
      <c r="F48" s="250">
        <v>106.4</v>
      </c>
      <c r="G48" s="250">
        <v>111.4</v>
      </c>
      <c r="H48" s="250">
        <v>120.9</v>
      </c>
      <c r="I48" s="250">
        <v>126.2</v>
      </c>
      <c r="J48" s="250">
        <v>114.4</v>
      </c>
      <c r="K48" s="250">
        <v>89.1</v>
      </c>
      <c r="L48" s="250">
        <v>97.3</v>
      </c>
      <c r="M48" s="250">
        <v>102.1</v>
      </c>
      <c r="N48" s="250">
        <v>106.8</v>
      </c>
      <c r="O48" s="250">
        <v>102.5</v>
      </c>
      <c r="P48" s="250">
        <v>100.4</v>
      </c>
      <c r="Q48" s="250">
        <v>100.1</v>
      </c>
      <c r="R48" s="250">
        <v>99.5</v>
      </c>
      <c r="S48" s="250">
        <v>101.9</v>
      </c>
      <c r="T48" s="250">
        <v>104.4</v>
      </c>
    </row>
    <row r="49" spans="4:4" ht="15.75" x14ac:dyDescent="0.25">
      <c r="D49" s="301"/>
    </row>
  </sheetData>
  <sortState ref="X26:Y30">
    <sortCondition ref="X26:X30"/>
  </sortState>
  <pageMargins left="0.7" right="0.7" top="0.75" bottom="0.75" header="0.3" footer="0.3"/>
  <pageSetup paperSize="9" scale="63" orientation="landscape" r:id="rId1"/>
  <headerFooter>
    <oddFooter>&amp;C&amp;A&amp;RLapa &amp;P no &amp;N</oddFooter>
  </headerFooter>
  <colBreaks count="1" manualBreakCount="1">
    <brk id="44" min="3" max="48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47"/>
  <sheetViews>
    <sheetView view="pageBreakPreview" topLeftCell="A10" zoomScale="85" zoomScaleNormal="115" zoomScaleSheetLayoutView="85" workbookViewId="0">
      <selection activeCell="H19" sqref="H19"/>
    </sheetView>
  </sheetViews>
  <sheetFormatPr defaultRowHeight="15.75" x14ac:dyDescent="0.25"/>
  <cols>
    <col min="1" max="1" width="15.25" style="95" customWidth="1"/>
    <col min="2" max="2" width="9" style="95"/>
    <col min="3" max="3" width="16.375" style="95" customWidth="1"/>
    <col min="4" max="4" width="12.75" style="95" customWidth="1"/>
    <col min="5" max="5" width="12.125" style="95" customWidth="1"/>
    <col min="6" max="6" width="12.625" style="95" customWidth="1"/>
    <col min="7" max="7" width="11.875" style="95" customWidth="1"/>
    <col min="8" max="8" width="10.75" style="95" customWidth="1"/>
    <col min="9" max="9" width="9.375" style="95" customWidth="1"/>
    <col min="10" max="10" width="10.125" style="95" customWidth="1"/>
    <col min="11" max="11" width="8.625" style="95" bestFit="1" customWidth="1"/>
    <col min="12" max="256" width="9" style="95"/>
    <col min="257" max="257" width="15.25" style="95" customWidth="1"/>
    <col min="258" max="258" width="9" style="95"/>
    <col min="259" max="259" width="40.25" style="95" customWidth="1"/>
    <col min="260" max="260" width="12.75" style="95" customWidth="1"/>
    <col min="261" max="261" width="12.125" style="95" customWidth="1"/>
    <col min="262" max="262" width="12.625" style="95" customWidth="1"/>
    <col min="263" max="263" width="11.875" style="95" customWidth="1"/>
    <col min="264" max="264" width="10.75" style="95" customWidth="1"/>
    <col min="265" max="265" width="9.375" style="95" customWidth="1"/>
    <col min="266" max="266" width="10.125" style="95" customWidth="1"/>
    <col min="267" max="267" width="8.625" style="95" bestFit="1" customWidth="1"/>
    <col min="268" max="512" width="9" style="95"/>
    <col min="513" max="513" width="15.25" style="95" customWidth="1"/>
    <col min="514" max="514" width="9" style="95"/>
    <col min="515" max="515" width="40.25" style="95" customWidth="1"/>
    <col min="516" max="516" width="12.75" style="95" customWidth="1"/>
    <col min="517" max="517" width="12.125" style="95" customWidth="1"/>
    <col min="518" max="518" width="12.625" style="95" customWidth="1"/>
    <col min="519" max="519" width="11.875" style="95" customWidth="1"/>
    <col min="520" max="520" width="10.75" style="95" customWidth="1"/>
    <col min="521" max="521" width="9.375" style="95" customWidth="1"/>
    <col min="522" max="522" width="10.125" style="95" customWidth="1"/>
    <col min="523" max="523" width="8.625" style="95" bestFit="1" customWidth="1"/>
    <col min="524" max="768" width="9" style="95"/>
    <col min="769" max="769" width="15.25" style="95" customWidth="1"/>
    <col min="770" max="770" width="9" style="95"/>
    <col min="771" max="771" width="40.25" style="95" customWidth="1"/>
    <col min="772" max="772" width="12.75" style="95" customWidth="1"/>
    <col min="773" max="773" width="12.125" style="95" customWidth="1"/>
    <col min="774" max="774" width="12.625" style="95" customWidth="1"/>
    <col min="775" max="775" width="11.875" style="95" customWidth="1"/>
    <col min="776" max="776" width="10.75" style="95" customWidth="1"/>
    <col min="777" max="777" width="9.375" style="95" customWidth="1"/>
    <col min="778" max="778" width="10.125" style="95" customWidth="1"/>
    <col min="779" max="779" width="8.625" style="95" bestFit="1" customWidth="1"/>
    <col min="780" max="1024" width="9" style="95"/>
    <col min="1025" max="1025" width="15.25" style="95" customWidth="1"/>
    <col min="1026" max="1026" width="9" style="95"/>
    <col min="1027" max="1027" width="40.25" style="95" customWidth="1"/>
    <col min="1028" max="1028" width="12.75" style="95" customWidth="1"/>
    <col min="1029" max="1029" width="12.125" style="95" customWidth="1"/>
    <col min="1030" max="1030" width="12.625" style="95" customWidth="1"/>
    <col min="1031" max="1031" width="11.875" style="95" customWidth="1"/>
    <col min="1032" max="1032" width="10.75" style="95" customWidth="1"/>
    <col min="1033" max="1033" width="9.375" style="95" customWidth="1"/>
    <col min="1034" max="1034" width="10.125" style="95" customWidth="1"/>
    <col min="1035" max="1035" width="8.625" style="95" bestFit="1" customWidth="1"/>
    <col min="1036" max="1280" width="9" style="95"/>
    <col min="1281" max="1281" width="15.25" style="95" customWidth="1"/>
    <col min="1282" max="1282" width="9" style="95"/>
    <col min="1283" max="1283" width="40.25" style="95" customWidth="1"/>
    <col min="1284" max="1284" width="12.75" style="95" customWidth="1"/>
    <col min="1285" max="1285" width="12.125" style="95" customWidth="1"/>
    <col min="1286" max="1286" width="12.625" style="95" customWidth="1"/>
    <col min="1287" max="1287" width="11.875" style="95" customWidth="1"/>
    <col min="1288" max="1288" width="10.75" style="95" customWidth="1"/>
    <col min="1289" max="1289" width="9.375" style="95" customWidth="1"/>
    <col min="1290" max="1290" width="10.125" style="95" customWidth="1"/>
    <col min="1291" max="1291" width="8.625" style="95" bestFit="1" customWidth="1"/>
    <col min="1292" max="1536" width="9" style="95"/>
    <col min="1537" max="1537" width="15.25" style="95" customWidth="1"/>
    <col min="1538" max="1538" width="9" style="95"/>
    <col min="1539" max="1539" width="40.25" style="95" customWidth="1"/>
    <col min="1540" max="1540" width="12.75" style="95" customWidth="1"/>
    <col min="1541" max="1541" width="12.125" style="95" customWidth="1"/>
    <col min="1542" max="1542" width="12.625" style="95" customWidth="1"/>
    <col min="1543" max="1543" width="11.875" style="95" customWidth="1"/>
    <col min="1544" max="1544" width="10.75" style="95" customWidth="1"/>
    <col min="1545" max="1545" width="9.375" style="95" customWidth="1"/>
    <col min="1546" max="1546" width="10.125" style="95" customWidth="1"/>
    <col min="1547" max="1547" width="8.625" style="95" bestFit="1" customWidth="1"/>
    <col min="1548" max="1792" width="9" style="95"/>
    <col min="1793" max="1793" width="15.25" style="95" customWidth="1"/>
    <col min="1794" max="1794" width="9" style="95"/>
    <col min="1795" max="1795" width="40.25" style="95" customWidth="1"/>
    <col min="1796" max="1796" width="12.75" style="95" customWidth="1"/>
    <col min="1797" max="1797" width="12.125" style="95" customWidth="1"/>
    <col min="1798" max="1798" width="12.625" style="95" customWidth="1"/>
    <col min="1799" max="1799" width="11.875" style="95" customWidth="1"/>
    <col min="1800" max="1800" width="10.75" style="95" customWidth="1"/>
    <col min="1801" max="1801" width="9.375" style="95" customWidth="1"/>
    <col min="1802" max="1802" width="10.125" style="95" customWidth="1"/>
    <col min="1803" max="1803" width="8.625" style="95" bestFit="1" customWidth="1"/>
    <col min="1804" max="2048" width="9" style="95"/>
    <col min="2049" max="2049" width="15.25" style="95" customWidth="1"/>
    <col min="2050" max="2050" width="9" style="95"/>
    <col min="2051" max="2051" width="40.25" style="95" customWidth="1"/>
    <col min="2052" max="2052" width="12.75" style="95" customWidth="1"/>
    <col min="2053" max="2053" width="12.125" style="95" customWidth="1"/>
    <col min="2054" max="2054" width="12.625" style="95" customWidth="1"/>
    <col min="2055" max="2055" width="11.875" style="95" customWidth="1"/>
    <col min="2056" max="2056" width="10.75" style="95" customWidth="1"/>
    <col min="2057" max="2057" width="9.375" style="95" customWidth="1"/>
    <col min="2058" max="2058" width="10.125" style="95" customWidth="1"/>
    <col min="2059" max="2059" width="8.625" style="95" bestFit="1" customWidth="1"/>
    <col min="2060" max="2304" width="9" style="95"/>
    <col min="2305" max="2305" width="15.25" style="95" customWidth="1"/>
    <col min="2306" max="2306" width="9" style="95"/>
    <col min="2307" max="2307" width="40.25" style="95" customWidth="1"/>
    <col min="2308" max="2308" width="12.75" style="95" customWidth="1"/>
    <col min="2309" max="2309" width="12.125" style="95" customWidth="1"/>
    <col min="2310" max="2310" width="12.625" style="95" customWidth="1"/>
    <col min="2311" max="2311" width="11.875" style="95" customWidth="1"/>
    <col min="2312" max="2312" width="10.75" style="95" customWidth="1"/>
    <col min="2313" max="2313" width="9.375" style="95" customWidth="1"/>
    <col min="2314" max="2314" width="10.125" style="95" customWidth="1"/>
    <col min="2315" max="2315" width="8.625" style="95" bestFit="1" customWidth="1"/>
    <col min="2316" max="2560" width="9" style="95"/>
    <col min="2561" max="2561" width="15.25" style="95" customWidth="1"/>
    <col min="2562" max="2562" width="9" style="95"/>
    <col min="2563" max="2563" width="40.25" style="95" customWidth="1"/>
    <col min="2564" max="2564" width="12.75" style="95" customWidth="1"/>
    <col min="2565" max="2565" width="12.125" style="95" customWidth="1"/>
    <col min="2566" max="2566" width="12.625" style="95" customWidth="1"/>
    <col min="2567" max="2567" width="11.875" style="95" customWidth="1"/>
    <col min="2568" max="2568" width="10.75" style="95" customWidth="1"/>
    <col min="2569" max="2569" width="9.375" style="95" customWidth="1"/>
    <col min="2570" max="2570" width="10.125" style="95" customWidth="1"/>
    <col min="2571" max="2571" width="8.625" style="95" bestFit="1" customWidth="1"/>
    <col min="2572" max="2816" width="9" style="95"/>
    <col min="2817" max="2817" width="15.25" style="95" customWidth="1"/>
    <col min="2818" max="2818" width="9" style="95"/>
    <col min="2819" max="2819" width="40.25" style="95" customWidth="1"/>
    <col min="2820" max="2820" width="12.75" style="95" customWidth="1"/>
    <col min="2821" max="2821" width="12.125" style="95" customWidth="1"/>
    <col min="2822" max="2822" width="12.625" style="95" customWidth="1"/>
    <col min="2823" max="2823" width="11.875" style="95" customWidth="1"/>
    <col min="2824" max="2824" width="10.75" style="95" customWidth="1"/>
    <col min="2825" max="2825" width="9.375" style="95" customWidth="1"/>
    <col min="2826" max="2826" width="10.125" style="95" customWidth="1"/>
    <col min="2827" max="2827" width="8.625" style="95" bestFit="1" customWidth="1"/>
    <col min="2828" max="3072" width="9" style="95"/>
    <col min="3073" max="3073" width="15.25" style="95" customWidth="1"/>
    <col min="3074" max="3074" width="9" style="95"/>
    <col min="3075" max="3075" width="40.25" style="95" customWidth="1"/>
    <col min="3076" max="3076" width="12.75" style="95" customWidth="1"/>
    <col min="3077" max="3077" width="12.125" style="95" customWidth="1"/>
    <col min="3078" max="3078" width="12.625" style="95" customWidth="1"/>
    <col min="3079" max="3079" width="11.875" style="95" customWidth="1"/>
    <col min="3080" max="3080" width="10.75" style="95" customWidth="1"/>
    <col min="3081" max="3081" width="9.375" style="95" customWidth="1"/>
    <col min="3082" max="3082" width="10.125" style="95" customWidth="1"/>
    <col min="3083" max="3083" width="8.625" style="95" bestFit="1" customWidth="1"/>
    <col min="3084" max="3328" width="9" style="95"/>
    <col min="3329" max="3329" width="15.25" style="95" customWidth="1"/>
    <col min="3330" max="3330" width="9" style="95"/>
    <col min="3331" max="3331" width="40.25" style="95" customWidth="1"/>
    <col min="3332" max="3332" width="12.75" style="95" customWidth="1"/>
    <col min="3333" max="3333" width="12.125" style="95" customWidth="1"/>
    <col min="3334" max="3334" width="12.625" style="95" customWidth="1"/>
    <col min="3335" max="3335" width="11.875" style="95" customWidth="1"/>
    <col min="3336" max="3336" width="10.75" style="95" customWidth="1"/>
    <col min="3337" max="3337" width="9.375" style="95" customWidth="1"/>
    <col min="3338" max="3338" width="10.125" style="95" customWidth="1"/>
    <col min="3339" max="3339" width="8.625" style="95" bestFit="1" customWidth="1"/>
    <col min="3340" max="3584" width="9" style="95"/>
    <col min="3585" max="3585" width="15.25" style="95" customWidth="1"/>
    <col min="3586" max="3586" width="9" style="95"/>
    <col min="3587" max="3587" width="40.25" style="95" customWidth="1"/>
    <col min="3588" max="3588" width="12.75" style="95" customWidth="1"/>
    <col min="3589" max="3589" width="12.125" style="95" customWidth="1"/>
    <col min="3590" max="3590" width="12.625" style="95" customWidth="1"/>
    <col min="3591" max="3591" width="11.875" style="95" customWidth="1"/>
    <col min="3592" max="3592" width="10.75" style="95" customWidth="1"/>
    <col min="3593" max="3593" width="9.375" style="95" customWidth="1"/>
    <col min="3594" max="3594" width="10.125" style="95" customWidth="1"/>
    <col min="3595" max="3595" width="8.625" style="95" bestFit="1" customWidth="1"/>
    <col min="3596" max="3840" width="9" style="95"/>
    <col min="3841" max="3841" width="15.25" style="95" customWidth="1"/>
    <col min="3842" max="3842" width="9" style="95"/>
    <col min="3843" max="3843" width="40.25" style="95" customWidth="1"/>
    <col min="3844" max="3844" width="12.75" style="95" customWidth="1"/>
    <col min="3845" max="3845" width="12.125" style="95" customWidth="1"/>
    <col min="3846" max="3846" width="12.625" style="95" customWidth="1"/>
    <col min="3847" max="3847" width="11.875" style="95" customWidth="1"/>
    <col min="3848" max="3848" width="10.75" style="95" customWidth="1"/>
    <col min="3849" max="3849" width="9.375" style="95" customWidth="1"/>
    <col min="3850" max="3850" width="10.125" style="95" customWidth="1"/>
    <col min="3851" max="3851" width="8.625" style="95" bestFit="1" customWidth="1"/>
    <col min="3852" max="4096" width="9" style="95"/>
    <col min="4097" max="4097" width="15.25" style="95" customWidth="1"/>
    <col min="4098" max="4098" width="9" style="95"/>
    <col min="4099" max="4099" width="40.25" style="95" customWidth="1"/>
    <col min="4100" max="4100" width="12.75" style="95" customWidth="1"/>
    <col min="4101" max="4101" width="12.125" style="95" customWidth="1"/>
    <col min="4102" max="4102" width="12.625" style="95" customWidth="1"/>
    <col min="4103" max="4103" width="11.875" style="95" customWidth="1"/>
    <col min="4104" max="4104" width="10.75" style="95" customWidth="1"/>
    <col min="4105" max="4105" width="9.375" style="95" customWidth="1"/>
    <col min="4106" max="4106" width="10.125" style="95" customWidth="1"/>
    <col min="4107" max="4107" width="8.625" style="95" bestFit="1" customWidth="1"/>
    <col min="4108" max="4352" width="9" style="95"/>
    <col min="4353" max="4353" width="15.25" style="95" customWidth="1"/>
    <col min="4354" max="4354" width="9" style="95"/>
    <col min="4355" max="4355" width="40.25" style="95" customWidth="1"/>
    <col min="4356" max="4356" width="12.75" style="95" customWidth="1"/>
    <col min="4357" max="4357" width="12.125" style="95" customWidth="1"/>
    <col min="4358" max="4358" width="12.625" style="95" customWidth="1"/>
    <col min="4359" max="4359" width="11.875" style="95" customWidth="1"/>
    <col min="4360" max="4360" width="10.75" style="95" customWidth="1"/>
    <col min="4361" max="4361" width="9.375" style="95" customWidth="1"/>
    <col min="4362" max="4362" width="10.125" style="95" customWidth="1"/>
    <col min="4363" max="4363" width="8.625" style="95" bestFit="1" customWidth="1"/>
    <col min="4364" max="4608" width="9" style="95"/>
    <col min="4609" max="4609" width="15.25" style="95" customWidth="1"/>
    <col min="4610" max="4610" width="9" style="95"/>
    <col min="4611" max="4611" width="40.25" style="95" customWidth="1"/>
    <col min="4612" max="4612" width="12.75" style="95" customWidth="1"/>
    <col min="4613" max="4613" width="12.125" style="95" customWidth="1"/>
    <col min="4614" max="4614" width="12.625" style="95" customWidth="1"/>
    <col min="4615" max="4615" width="11.875" style="95" customWidth="1"/>
    <col min="4616" max="4616" width="10.75" style="95" customWidth="1"/>
    <col min="4617" max="4617" width="9.375" style="95" customWidth="1"/>
    <col min="4618" max="4618" width="10.125" style="95" customWidth="1"/>
    <col min="4619" max="4619" width="8.625" style="95" bestFit="1" customWidth="1"/>
    <col min="4620" max="4864" width="9" style="95"/>
    <col min="4865" max="4865" width="15.25" style="95" customWidth="1"/>
    <col min="4866" max="4866" width="9" style="95"/>
    <col min="4867" max="4867" width="40.25" style="95" customWidth="1"/>
    <col min="4868" max="4868" width="12.75" style="95" customWidth="1"/>
    <col min="4869" max="4869" width="12.125" style="95" customWidth="1"/>
    <col min="4870" max="4870" width="12.625" style="95" customWidth="1"/>
    <col min="4871" max="4871" width="11.875" style="95" customWidth="1"/>
    <col min="4872" max="4872" width="10.75" style="95" customWidth="1"/>
    <col min="4873" max="4873" width="9.375" style="95" customWidth="1"/>
    <col min="4874" max="4874" width="10.125" style="95" customWidth="1"/>
    <col min="4875" max="4875" width="8.625" style="95" bestFit="1" customWidth="1"/>
    <col min="4876" max="5120" width="9" style="95"/>
    <col min="5121" max="5121" width="15.25" style="95" customWidth="1"/>
    <col min="5122" max="5122" width="9" style="95"/>
    <col min="5123" max="5123" width="40.25" style="95" customWidth="1"/>
    <col min="5124" max="5124" width="12.75" style="95" customWidth="1"/>
    <col min="5125" max="5125" width="12.125" style="95" customWidth="1"/>
    <col min="5126" max="5126" width="12.625" style="95" customWidth="1"/>
    <col min="5127" max="5127" width="11.875" style="95" customWidth="1"/>
    <col min="5128" max="5128" width="10.75" style="95" customWidth="1"/>
    <col min="5129" max="5129" width="9.375" style="95" customWidth="1"/>
    <col min="5130" max="5130" width="10.125" style="95" customWidth="1"/>
    <col min="5131" max="5131" width="8.625" style="95" bestFit="1" customWidth="1"/>
    <col min="5132" max="5376" width="9" style="95"/>
    <col min="5377" max="5377" width="15.25" style="95" customWidth="1"/>
    <col min="5378" max="5378" width="9" style="95"/>
    <col min="5379" max="5379" width="40.25" style="95" customWidth="1"/>
    <col min="5380" max="5380" width="12.75" style="95" customWidth="1"/>
    <col min="5381" max="5381" width="12.125" style="95" customWidth="1"/>
    <col min="5382" max="5382" width="12.625" style="95" customWidth="1"/>
    <col min="5383" max="5383" width="11.875" style="95" customWidth="1"/>
    <col min="5384" max="5384" width="10.75" style="95" customWidth="1"/>
    <col min="5385" max="5385" width="9.375" style="95" customWidth="1"/>
    <col min="5386" max="5386" width="10.125" style="95" customWidth="1"/>
    <col min="5387" max="5387" width="8.625" style="95" bestFit="1" customWidth="1"/>
    <col min="5388" max="5632" width="9" style="95"/>
    <col min="5633" max="5633" width="15.25" style="95" customWidth="1"/>
    <col min="5634" max="5634" width="9" style="95"/>
    <col min="5635" max="5635" width="40.25" style="95" customWidth="1"/>
    <col min="5636" max="5636" width="12.75" style="95" customWidth="1"/>
    <col min="5637" max="5637" width="12.125" style="95" customWidth="1"/>
    <col min="5638" max="5638" width="12.625" style="95" customWidth="1"/>
    <col min="5639" max="5639" width="11.875" style="95" customWidth="1"/>
    <col min="5640" max="5640" width="10.75" style="95" customWidth="1"/>
    <col min="5641" max="5641" width="9.375" style="95" customWidth="1"/>
    <col min="5642" max="5642" width="10.125" style="95" customWidth="1"/>
    <col min="5643" max="5643" width="8.625" style="95" bestFit="1" customWidth="1"/>
    <col min="5644" max="5888" width="9" style="95"/>
    <col min="5889" max="5889" width="15.25" style="95" customWidth="1"/>
    <col min="5890" max="5890" width="9" style="95"/>
    <col min="5891" max="5891" width="40.25" style="95" customWidth="1"/>
    <col min="5892" max="5892" width="12.75" style="95" customWidth="1"/>
    <col min="5893" max="5893" width="12.125" style="95" customWidth="1"/>
    <col min="5894" max="5894" width="12.625" style="95" customWidth="1"/>
    <col min="5895" max="5895" width="11.875" style="95" customWidth="1"/>
    <col min="5896" max="5896" width="10.75" style="95" customWidth="1"/>
    <col min="5897" max="5897" width="9.375" style="95" customWidth="1"/>
    <col min="5898" max="5898" width="10.125" style="95" customWidth="1"/>
    <col min="5899" max="5899" width="8.625" style="95" bestFit="1" customWidth="1"/>
    <col min="5900" max="6144" width="9" style="95"/>
    <col min="6145" max="6145" width="15.25" style="95" customWidth="1"/>
    <col min="6146" max="6146" width="9" style="95"/>
    <col min="6147" max="6147" width="40.25" style="95" customWidth="1"/>
    <col min="6148" max="6148" width="12.75" style="95" customWidth="1"/>
    <col min="6149" max="6149" width="12.125" style="95" customWidth="1"/>
    <col min="6150" max="6150" width="12.625" style="95" customWidth="1"/>
    <col min="6151" max="6151" width="11.875" style="95" customWidth="1"/>
    <col min="6152" max="6152" width="10.75" style="95" customWidth="1"/>
    <col min="6153" max="6153" width="9.375" style="95" customWidth="1"/>
    <col min="6154" max="6154" width="10.125" style="95" customWidth="1"/>
    <col min="6155" max="6155" width="8.625" style="95" bestFit="1" customWidth="1"/>
    <col min="6156" max="6400" width="9" style="95"/>
    <col min="6401" max="6401" width="15.25" style="95" customWidth="1"/>
    <col min="6402" max="6402" width="9" style="95"/>
    <col min="6403" max="6403" width="40.25" style="95" customWidth="1"/>
    <col min="6404" max="6404" width="12.75" style="95" customWidth="1"/>
    <col min="6405" max="6405" width="12.125" style="95" customWidth="1"/>
    <col min="6406" max="6406" width="12.625" style="95" customWidth="1"/>
    <col min="6407" max="6407" width="11.875" style="95" customWidth="1"/>
    <col min="6408" max="6408" width="10.75" style="95" customWidth="1"/>
    <col min="6409" max="6409" width="9.375" style="95" customWidth="1"/>
    <col min="6410" max="6410" width="10.125" style="95" customWidth="1"/>
    <col min="6411" max="6411" width="8.625" style="95" bestFit="1" customWidth="1"/>
    <col min="6412" max="6656" width="9" style="95"/>
    <col min="6657" max="6657" width="15.25" style="95" customWidth="1"/>
    <col min="6658" max="6658" width="9" style="95"/>
    <col min="6659" max="6659" width="40.25" style="95" customWidth="1"/>
    <col min="6660" max="6660" width="12.75" style="95" customWidth="1"/>
    <col min="6661" max="6661" width="12.125" style="95" customWidth="1"/>
    <col min="6662" max="6662" width="12.625" style="95" customWidth="1"/>
    <col min="6663" max="6663" width="11.875" style="95" customWidth="1"/>
    <col min="6664" max="6664" width="10.75" style="95" customWidth="1"/>
    <col min="6665" max="6665" width="9.375" style="95" customWidth="1"/>
    <col min="6666" max="6666" width="10.125" style="95" customWidth="1"/>
    <col min="6667" max="6667" width="8.625" style="95" bestFit="1" customWidth="1"/>
    <col min="6668" max="6912" width="9" style="95"/>
    <col min="6913" max="6913" width="15.25" style="95" customWidth="1"/>
    <col min="6914" max="6914" width="9" style="95"/>
    <col min="6915" max="6915" width="40.25" style="95" customWidth="1"/>
    <col min="6916" max="6916" width="12.75" style="95" customWidth="1"/>
    <col min="6917" max="6917" width="12.125" style="95" customWidth="1"/>
    <col min="6918" max="6918" width="12.625" style="95" customWidth="1"/>
    <col min="6919" max="6919" width="11.875" style="95" customWidth="1"/>
    <col min="6920" max="6920" width="10.75" style="95" customWidth="1"/>
    <col min="6921" max="6921" width="9.375" style="95" customWidth="1"/>
    <col min="6922" max="6922" width="10.125" style="95" customWidth="1"/>
    <col min="6923" max="6923" width="8.625" style="95" bestFit="1" customWidth="1"/>
    <col min="6924" max="7168" width="9" style="95"/>
    <col min="7169" max="7169" width="15.25" style="95" customWidth="1"/>
    <col min="7170" max="7170" width="9" style="95"/>
    <col min="7171" max="7171" width="40.25" style="95" customWidth="1"/>
    <col min="7172" max="7172" width="12.75" style="95" customWidth="1"/>
    <col min="7173" max="7173" width="12.125" style="95" customWidth="1"/>
    <col min="7174" max="7174" width="12.625" style="95" customWidth="1"/>
    <col min="7175" max="7175" width="11.875" style="95" customWidth="1"/>
    <col min="7176" max="7176" width="10.75" style="95" customWidth="1"/>
    <col min="7177" max="7177" width="9.375" style="95" customWidth="1"/>
    <col min="7178" max="7178" width="10.125" style="95" customWidth="1"/>
    <col min="7179" max="7179" width="8.625" style="95" bestFit="1" customWidth="1"/>
    <col min="7180" max="7424" width="9" style="95"/>
    <col min="7425" max="7425" width="15.25" style="95" customWidth="1"/>
    <col min="7426" max="7426" width="9" style="95"/>
    <col min="7427" max="7427" width="40.25" style="95" customWidth="1"/>
    <col min="7428" max="7428" width="12.75" style="95" customWidth="1"/>
    <col min="7429" max="7429" width="12.125" style="95" customWidth="1"/>
    <col min="7430" max="7430" width="12.625" style="95" customWidth="1"/>
    <col min="7431" max="7431" width="11.875" style="95" customWidth="1"/>
    <col min="7432" max="7432" width="10.75" style="95" customWidth="1"/>
    <col min="7433" max="7433" width="9.375" style="95" customWidth="1"/>
    <col min="7434" max="7434" width="10.125" style="95" customWidth="1"/>
    <col min="7435" max="7435" width="8.625" style="95" bestFit="1" customWidth="1"/>
    <col min="7436" max="7680" width="9" style="95"/>
    <col min="7681" max="7681" width="15.25" style="95" customWidth="1"/>
    <col min="7682" max="7682" width="9" style="95"/>
    <col min="7683" max="7683" width="40.25" style="95" customWidth="1"/>
    <col min="7684" max="7684" width="12.75" style="95" customWidth="1"/>
    <col min="7685" max="7685" width="12.125" style="95" customWidth="1"/>
    <col min="7686" max="7686" width="12.625" style="95" customWidth="1"/>
    <col min="7687" max="7687" width="11.875" style="95" customWidth="1"/>
    <col min="7688" max="7688" width="10.75" style="95" customWidth="1"/>
    <col min="7689" max="7689" width="9.375" style="95" customWidth="1"/>
    <col min="7690" max="7690" width="10.125" style="95" customWidth="1"/>
    <col min="7691" max="7691" width="8.625" style="95" bestFit="1" customWidth="1"/>
    <col min="7692" max="7936" width="9" style="95"/>
    <col min="7937" max="7937" width="15.25" style="95" customWidth="1"/>
    <col min="7938" max="7938" width="9" style="95"/>
    <col min="7939" max="7939" width="40.25" style="95" customWidth="1"/>
    <col min="7940" max="7940" width="12.75" style="95" customWidth="1"/>
    <col min="7941" max="7941" width="12.125" style="95" customWidth="1"/>
    <col min="7942" max="7942" width="12.625" style="95" customWidth="1"/>
    <col min="7943" max="7943" width="11.875" style="95" customWidth="1"/>
    <col min="7944" max="7944" width="10.75" style="95" customWidth="1"/>
    <col min="7945" max="7945" width="9.375" style="95" customWidth="1"/>
    <col min="7946" max="7946" width="10.125" style="95" customWidth="1"/>
    <col min="7947" max="7947" width="8.625" style="95" bestFit="1" customWidth="1"/>
    <col min="7948" max="8192" width="9" style="95"/>
    <col min="8193" max="8193" width="15.25" style="95" customWidth="1"/>
    <col min="8194" max="8194" width="9" style="95"/>
    <col min="8195" max="8195" width="40.25" style="95" customWidth="1"/>
    <col min="8196" max="8196" width="12.75" style="95" customWidth="1"/>
    <col min="8197" max="8197" width="12.125" style="95" customWidth="1"/>
    <col min="8198" max="8198" width="12.625" style="95" customWidth="1"/>
    <col min="8199" max="8199" width="11.875" style="95" customWidth="1"/>
    <col min="8200" max="8200" width="10.75" style="95" customWidth="1"/>
    <col min="8201" max="8201" width="9.375" style="95" customWidth="1"/>
    <col min="8202" max="8202" width="10.125" style="95" customWidth="1"/>
    <col min="8203" max="8203" width="8.625" style="95" bestFit="1" customWidth="1"/>
    <col min="8204" max="8448" width="9" style="95"/>
    <col min="8449" max="8449" width="15.25" style="95" customWidth="1"/>
    <col min="8450" max="8450" width="9" style="95"/>
    <col min="8451" max="8451" width="40.25" style="95" customWidth="1"/>
    <col min="8452" max="8452" width="12.75" style="95" customWidth="1"/>
    <col min="8453" max="8453" width="12.125" style="95" customWidth="1"/>
    <col min="8454" max="8454" width="12.625" style="95" customWidth="1"/>
    <col min="8455" max="8455" width="11.875" style="95" customWidth="1"/>
    <col min="8456" max="8456" width="10.75" style="95" customWidth="1"/>
    <col min="8457" max="8457" width="9.375" style="95" customWidth="1"/>
    <col min="8458" max="8458" width="10.125" style="95" customWidth="1"/>
    <col min="8459" max="8459" width="8.625" style="95" bestFit="1" customWidth="1"/>
    <col min="8460" max="8704" width="9" style="95"/>
    <col min="8705" max="8705" width="15.25" style="95" customWidth="1"/>
    <col min="8706" max="8706" width="9" style="95"/>
    <col min="8707" max="8707" width="40.25" style="95" customWidth="1"/>
    <col min="8708" max="8708" width="12.75" style="95" customWidth="1"/>
    <col min="8709" max="8709" width="12.125" style="95" customWidth="1"/>
    <col min="8710" max="8710" width="12.625" style="95" customWidth="1"/>
    <col min="8711" max="8711" width="11.875" style="95" customWidth="1"/>
    <col min="8712" max="8712" width="10.75" style="95" customWidth="1"/>
    <col min="8713" max="8713" width="9.375" style="95" customWidth="1"/>
    <col min="8714" max="8714" width="10.125" style="95" customWidth="1"/>
    <col min="8715" max="8715" width="8.625" style="95" bestFit="1" customWidth="1"/>
    <col min="8716" max="8960" width="9" style="95"/>
    <col min="8961" max="8961" width="15.25" style="95" customWidth="1"/>
    <col min="8962" max="8962" width="9" style="95"/>
    <col min="8963" max="8963" width="40.25" style="95" customWidth="1"/>
    <col min="8964" max="8964" width="12.75" style="95" customWidth="1"/>
    <col min="8965" max="8965" width="12.125" style="95" customWidth="1"/>
    <col min="8966" max="8966" width="12.625" style="95" customWidth="1"/>
    <col min="8967" max="8967" width="11.875" style="95" customWidth="1"/>
    <col min="8968" max="8968" width="10.75" style="95" customWidth="1"/>
    <col min="8969" max="8969" width="9.375" style="95" customWidth="1"/>
    <col min="8970" max="8970" width="10.125" style="95" customWidth="1"/>
    <col min="8971" max="8971" width="8.625" style="95" bestFit="1" customWidth="1"/>
    <col min="8972" max="9216" width="9" style="95"/>
    <col min="9217" max="9217" width="15.25" style="95" customWidth="1"/>
    <col min="9218" max="9218" width="9" style="95"/>
    <col min="9219" max="9219" width="40.25" style="95" customWidth="1"/>
    <col min="9220" max="9220" width="12.75" style="95" customWidth="1"/>
    <col min="9221" max="9221" width="12.125" style="95" customWidth="1"/>
    <col min="9222" max="9222" width="12.625" style="95" customWidth="1"/>
    <col min="9223" max="9223" width="11.875" style="95" customWidth="1"/>
    <col min="9224" max="9224" width="10.75" style="95" customWidth="1"/>
    <col min="9225" max="9225" width="9.375" style="95" customWidth="1"/>
    <col min="9226" max="9226" width="10.125" style="95" customWidth="1"/>
    <col min="9227" max="9227" width="8.625" style="95" bestFit="1" customWidth="1"/>
    <col min="9228" max="9472" width="9" style="95"/>
    <col min="9473" max="9473" width="15.25" style="95" customWidth="1"/>
    <col min="9474" max="9474" width="9" style="95"/>
    <col min="9475" max="9475" width="40.25" style="95" customWidth="1"/>
    <col min="9476" max="9476" width="12.75" style="95" customWidth="1"/>
    <col min="9477" max="9477" width="12.125" style="95" customWidth="1"/>
    <col min="9478" max="9478" width="12.625" style="95" customWidth="1"/>
    <col min="9479" max="9479" width="11.875" style="95" customWidth="1"/>
    <col min="9480" max="9480" width="10.75" style="95" customWidth="1"/>
    <col min="9481" max="9481" width="9.375" style="95" customWidth="1"/>
    <col min="9482" max="9482" width="10.125" style="95" customWidth="1"/>
    <col min="9483" max="9483" width="8.625" style="95" bestFit="1" customWidth="1"/>
    <col min="9484" max="9728" width="9" style="95"/>
    <col min="9729" max="9729" width="15.25" style="95" customWidth="1"/>
    <col min="9730" max="9730" width="9" style="95"/>
    <col min="9731" max="9731" width="40.25" style="95" customWidth="1"/>
    <col min="9732" max="9732" width="12.75" style="95" customWidth="1"/>
    <col min="9733" max="9733" width="12.125" style="95" customWidth="1"/>
    <col min="9734" max="9734" width="12.625" style="95" customWidth="1"/>
    <col min="9735" max="9735" width="11.875" style="95" customWidth="1"/>
    <col min="9736" max="9736" width="10.75" style="95" customWidth="1"/>
    <col min="9737" max="9737" width="9.375" style="95" customWidth="1"/>
    <col min="9738" max="9738" width="10.125" style="95" customWidth="1"/>
    <col min="9739" max="9739" width="8.625" style="95" bestFit="1" customWidth="1"/>
    <col min="9740" max="9984" width="9" style="95"/>
    <col min="9985" max="9985" width="15.25" style="95" customWidth="1"/>
    <col min="9986" max="9986" width="9" style="95"/>
    <col min="9987" max="9987" width="40.25" style="95" customWidth="1"/>
    <col min="9988" max="9988" width="12.75" style="95" customWidth="1"/>
    <col min="9989" max="9989" width="12.125" style="95" customWidth="1"/>
    <col min="9990" max="9990" width="12.625" style="95" customWidth="1"/>
    <col min="9991" max="9991" width="11.875" style="95" customWidth="1"/>
    <col min="9992" max="9992" width="10.75" style="95" customWidth="1"/>
    <col min="9993" max="9993" width="9.375" style="95" customWidth="1"/>
    <col min="9994" max="9994" width="10.125" style="95" customWidth="1"/>
    <col min="9995" max="9995" width="8.625" style="95" bestFit="1" customWidth="1"/>
    <col min="9996" max="10240" width="9" style="95"/>
    <col min="10241" max="10241" width="15.25" style="95" customWidth="1"/>
    <col min="10242" max="10242" width="9" style="95"/>
    <col min="10243" max="10243" width="40.25" style="95" customWidth="1"/>
    <col min="10244" max="10244" width="12.75" style="95" customWidth="1"/>
    <col min="10245" max="10245" width="12.125" style="95" customWidth="1"/>
    <col min="10246" max="10246" width="12.625" style="95" customWidth="1"/>
    <col min="10247" max="10247" width="11.875" style="95" customWidth="1"/>
    <col min="10248" max="10248" width="10.75" style="95" customWidth="1"/>
    <col min="10249" max="10249" width="9.375" style="95" customWidth="1"/>
    <col min="10250" max="10250" width="10.125" style="95" customWidth="1"/>
    <col min="10251" max="10251" width="8.625" style="95" bestFit="1" customWidth="1"/>
    <col min="10252" max="10496" width="9" style="95"/>
    <col min="10497" max="10497" width="15.25" style="95" customWidth="1"/>
    <col min="10498" max="10498" width="9" style="95"/>
    <col min="10499" max="10499" width="40.25" style="95" customWidth="1"/>
    <col min="10500" max="10500" width="12.75" style="95" customWidth="1"/>
    <col min="10501" max="10501" width="12.125" style="95" customWidth="1"/>
    <col min="10502" max="10502" width="12.625" style="95" customWidth="1"/>
    <col min="10503" max="10503" width="11.875" style="95" customWidth="1"/>
    <col min="10504" max="10504" width="10.75" style="95" customWidth="1"/>
    <col min="10505" max="10505" width="9.375" style="95" customWidth="1"/>
    <col min="10506" max="10506" width="10.125" style="95" customWidth="1"/>
    <col min="10507" max="10507" width="8.625" style="95" bestFit="1" customWidth="1"/>
    <col min="10508" max="10752" width="9" style="95"/>
    <col min="10753" max="10753" width="15.25" style="95" customWidth="1"/>
    <col min="10754" max="10754" width="9" style="95"/>
    <col min="10755" max="10755" width="40.25" style="95" customWidth="1"/>
    <col min="10756" max="10756" width="12.75" style="95" customWidth="1"/>
    <col min="10757" max="10757" width="12.125" style="95" customWidth="1"/>
    <col min="10758" max="10758" width="12.625" style="95" customWidth="1"/>
    <col min="10759" max="10759" width="11.875" style="95" customWidth="1"/>
    <col min="10760" max="10760" width="10.75" style="95" customWidth="1"/>
    <col min="10761" max="10761" width="9.375" style="95" customWidth="1"/>
    <col min="10762" max="10762" width="10.125" style="95" customWidth="1"/>
    <col min="10763" max="10763" width="8.625" style="95" bestFit="1" customWidth="1"/>
    <col min="10764" max="11008" width="9" style="95"/>
    <col min="11009" max="11009" width="15.25" style="95" customWidth="1"/>
    <col min="11010" max="11010" width="9" style="95"/>
    <col min="11011" max="11011" width="40.25" style="95" customWidth="1"/>
    <col min="11012" max="11012" width="12.75" style="95" customWidth="1"/>
    <col min="11013" max="11013" width="12.125" style="95" customWidth="1"/>
    <col min="11014" max="11014" width="12.625" style="95" customWidth="1"/>
    <col min="11015" max="11015" width="11.875" style="95" customWidth="1"/>
    <col min="11016" max="11016" width="10.75" style="95" customWidth="1"/>
    <col min="11017" max="11017" width="9.375" style="95" customWidth="1"/>
    <col min="11018" max="11018" width="10.125" style="95" customWidth="1"/>
    <col min="11019" max="11019" width="8.625" style="95" bestFit="1" customWidth="1"/>
    <col min="11020" max="11264" width="9" style="95"/>
    <col min="11265" max="11265" width="15.25" style="95" customWidth="1"/>
    <col min="11266" max="11266" width="9" style="95"/>
    <col min="11267" max="11267" width="40.25" style="95" customWidth="1"/>
    <col min="11268" max="11268" width="12.75" style="95" customWidth="1"/>
    <col min="11269" max="11269" width="12.125" style="95" customWidth="1"/>
    <col min="11270" max="11270" width="12.625" style="95" customWidth="1"/>
    <col min="11271" max="11271" width="11.875" style="95" customWidth="1"/>
    <col min="11272" max="11272" width="10.75" style="95" customWidth="1"/>
    <col min="11273" max="11273" width="9.375" style="95" customWidth="1"/>
    <col min="11274" max="11274" width="10.125" style="95" customWidth="1"/>
    <col min="11275" max="11275" width="8.625" style="95" bestFit="1" customWidth="1"/>
    <col min="11276" max="11520" width="9" style="95"/>
    <col min="11521" max="11521" width="15.25" style="95" customWidth="1"/>
    <col min="11522" max="11522" width="9" style="95"/>
    <col min="11523" max="11523" width="40.25" style="95" customWidth="1"/>
    <col min="11524" max="11524" width="12.75" style="95" customWidth="1"/>
    <col min="11525" max="11525" width="12.125" style="95" customWidth="1"/>
    <col min="11526" max="11526" width="12.625" style="95" customWidth="1"/>
    <col min="11527" max="11527" width="11.875" style="95" customWidth="1"/>
    <col min="11528" max="11528" width="10.75" style="95" customWidth="1"/>
    <col min="11529" max="11529" width="9.375" style="95" customWidth="1"/>
    <col min="11530" max="11530" width="10.125" style="95" customWidth="1"/>
    <col min="11531" max="11531" width="8.625" style="95" bestFit="1" customWidth="1"/>
    <col min="11532" max="11776" width="9" style="95"/>
    <col min="11777" max="11777" width="15.25" style="95" customWidth="1"/>
    <col min="11778" max="11778" width="9" style="95"/>
    <col min="11779" max="11779" width="40.25" style="95" customWidth="1"/>
    <col min="11780" max="11780" width="12.75" style="95" customWidth="1"/>
    <col min="11781" max="11781" width="12.125" style="95" customWidth="1"/>
    <col min="11782" max="11782" width="12.625" style="95" customWidth="1"/>
    <col min="11783" max="11783" width="11.875" style="95" customWidth="1"/>
    <col min="11784" max="11784" width="10.75" style="95" customWidth="1"/>
    <col min="11785" max="11785" width="9.375" style="95" customWidth="1"/>
    <col min="11786" max="11786" width="10.125" style="95" customWidth="1"/>
    <col min="11787" max="11787" width="8.625" style="95" bestFit="1" customWidth="1"/>
    <col min="11788" max="12032" width="9" style="95"/>
    <col min="12033" max="12033" width="15.25" style="95" customWidth="1"/>
    <col min="12034" max="12034" width="9" style="95"/>
    <col min="12035" max="12035" width="40.25" style="95" customWidth="1"/>
    <col min="12036" max="12036" width="12.75" style="95" customWidth="1"/>
    <col min="12037" max="12037" width="12.125" style="95" customWidth="1"/>
    <col min="12038" max="12038" width="12.625" style="95" customWidth="1"/>
    <col min="12039" max="12039" width="11.875" style="95" customWidth="1"/>
    <col min="12040" max="12040" width="10.75" style="95" customWidth="1"/>
    <col min="12041" max="12041" width="9.375" style="95" customWidth="1"/>
    <col min="12042" max="12042" width="10.125" style="95" customWidth="1"/>
    <col min="12043" max="12043" width="8.625" style="95" bestFit="1" customWidth="1"/>
    <col min="12044" max="12288" width="9" style="95"/>
    <col min="12289" max="12289" width="15.25" style="95" customWidth="1"/>
    <col min="12290" max="12290" width="9" style="95"/>
    <col min="12291" max="12291" width="40.25" style="95" customWidth="1"/>
    <col min="12292" max="12292" width="12.75" style="95" customWidth="1"/>
    <col min="12293" max="12293" width="12.125" style="95" customWidth="1"/>
    <col min="12294" max="12294" width="12.625" style="95" customWidth="1"/>
    <col min="12295" max="12295" width="11.875" style="95" customWidth="1"/>
    <col min="12296" max="12296" width="10.75" style="95" customWidth="1"/>
    <col min="12297" max="12297" width="9.375" style="95" customWidth="1"/>
    <col min="12298" max="12298" width="10.125" style="95" customWidth="1"/>
    <col min="12299" max="12299" width="8.625" style="95" bestFit="1" customWidth="1"/>
    <col min="12300" max="12544" width="9" style="95"/>
    <col min="12545" max="12545" width="15.25" style="95" customWidth="1"/>
    <col min="12546" max="12546" width="9" style="95"/>
    <col min="12547" max="12547" width="40.25" style="95" customWidth="1"/>
    <col min="12548" max="12548" width="12.75" style="95" customWidth="1"/>
    <col min="12549" max="12549" width="12.125" style="95" customWidth="1"/>
    <col min="12550" max="12550" width="12.625" style="95" customWidth="1"/>
    <col min="12551" max="12551" width="11.875" style="95" customWidth="1"/>
    <col min="12552" max="12552" width="10.75" style="95" customWidth="1"/>
    <col min="12553" max="12553" width="9.375" style="95" customWidth="1"/>
    <col min="12554" max="12554" width="10.125" style="95" customWidth="1"/>
    <col min="12555" max="12555" width="8.625" style="95" bestFit="1" customWidth="1"/>
    <col min="12556" max="12800" width="9" style="95"/>
    <col min="12801" max="12801" width="15.25" style="95" customWidth="1"/>
    <col min="12802" max="12802" width="9" style="95"/>
    <col min="12803" max="12803" width="40.25" style="95" customWidth="1"/>
    <col min="12804" max="12804" width="12.75" style="95" customWidth="1"/>
    <col min="12805" max="12805" width="12.125" style="95" customWidth="1"/>
    <col min="12806" max="12806" width="12.625" style="95" customWidth="1"/>
    <col min="12807" max="12807" width="11.875" style="95" customWidth="1"/>
    <col min="12808" max="12808" width="10.75" style="95" customWidth="1"/>
    <col min="12809" max="12809" width="9.375" style="95" customWidth="1"/>
    <col min="12810" max="12810" width="10.125" style="95" customWidth="1"/>
    <col min="12811" max="12811" width="8.625" style="95" bestFit="1" customWidth="1"/>
    <col min="12812" max="13056" width="9" style="95"/>
    <col min="13057" max="13057" width="15.25" style="95" customWidth="1"/>
    <col min="13058" max="13058" width="9" style="95"/>
    <col min="13059" max="13059" width="40.25" style="95" customWidth="1"/>
    <col min="13060" max="13060" width="12.75" style="95" customWidth="1"/>
    <col min="13061" max="13061" width="12.125" style="95" customWidth="1"/>
    <col min="13062" max="13062" width="12.625" style="95" customWidth="1"/>
    <col min="13063" max="13063" width="11.875" style="95" customWidth="1"/>
    <col min="13064" max="13064" width="10.75" style="95" customWidth="1"/>
    <col min="13065" max="13065" width="9.375" style="95" customWidth="1"/>
    <col min="13066" max="13066" width="10.125" style="95" customWidth="1"/>
    <col min="13067" max="13067" width="8.625" style="95" bestFit="1" customWidth="1"/>
    <col min="13068" max="13312" width="9" style="95"/>
    <col min="13313" max="13313" width="15.25" style="95" customWidth="1"/>
    <col min="13314" max="13314" width="9" style="95"/>
    <col min="13315" max="13315" width="40.25" style="95" customWidth="1"/>
    <col min="13316" max="13316" width="12.75" style="95" customWidth="1"/>
    <col min="13317" max="13317" width="12.125" style="95" customWidth="1"/>
    <col min="13318" max="13318" width="12.625" style="95" customWidth="1"/>
    <col min="13319" max="13319" width="11.875" style="95" customWidth="1"/>
    <col min="13320" max="13320" width="10.75" style="95" customWidth="1"/>
    <col min="13321" max="13321" width="9.375" style="95" customWidth="1"/>
    <col min="13322" max="13322" width="10.125" style="95" customWidth="1"/>
    <col min="13323" max="13323" width="8.625" style="95" bestFit="1" customWidth="1"/>
    <col min="13324" max="13568" width="9" style="95"/>
    <col min="13569" max="13569" width="15.25" style="95" customWidth="1"/>
    <col min="13570" max="13570" width="9" style="95"/>
    <col min="13571" max="13571" width="40.25" style="95" customWidth="1"/>
    <col min="13572" max="13572" width="12.75" style="95" customWidth="1"/>
    <col min="13573" max="13573" width="12.125" style="95" customWidth="1"/>
    <col min="13574" max="13574" width="12.625" style="95" customWidth="1"/>
    <col min="13575" max="13575" width="11.875" style="95" customWidth="1"/>
    <col min="13576" max="13576" width="10.75" style="95" customWidth="1"/>
    <col min="13577" max="13577" width="9.375" style="95" customWidth="1"/>
    <col min="13578" max="13578" width="10.125" style="95" customWidth="1"/>
    <col min="13579" max="13579" width="8.625" style="95" bestFit="1" customWidth="1"/>
    <col min="13580" max="13824" width="9" style="95"/>
    <col min="13825" max="13825" width="15.25" style="95" customWidth="1"/>
    <col min="13826" max="13826" width="9" style="95"/>
    <col min="13827" max="13827" width="40.25" style="95" customWidth="1"/>
    <col min="13828" max="13828" width="12.75" style="95" customWidth="1"/>
    <col min="13829" max="13829" width="12.125" style="95" customWidth="1"/>
    <col min="13830" max="13830" width="12.625" style="95" customWidth="1"/>
    <col min="13831" max="13831" width="11.875" style="95" customWidth="1"/>
    <col min="13832" max="13832" width="10.75" style="95" customWidth="1"/>
    <col min="13833" max="13833" width="9.375" style="95" customWidth="1"/>
    <col min="13834" max="13834" width="10.125" style="95" customWidth="1"/>
    <col min="13835" max="13835" width="8.625" style="95" bestFit="1" customWidth="1"/>
    <col min="13836" max="14080" width="9" style="95"/>
    <col min="14081" max="14081" width="15.25" style="95" customWidth="1"/>
    <col min="14082" max="14082" width="9" style="95"/>
    <col min="14083" max="14083" width="40.25" style="95" customWidth="1"/>
    <col min="14084" max="14084" width="12.75" style="95" customWidth="1"/>
    <col min="14085" max="14085" width="12.125" style="95" customWidth="1"/>
    <col min="14086" max="14086" width="12.625" style="95" customWidth="1"/>
    <col min="14087" max="14087" width="11.875" style="95" customWidth="1"/>
    <col min="14088" max="14088" width="10.75" style="95" customWidth="1"/>
    <col min="14089" max="14089" width="9.375" style="95" customWidth="1"/>
    <col min="14090" max="14090" width="10.125" style="95" customWidth="1"/>
    <col min="14091" max="14091" width="8.625" style="95" bestFit="1" customWidth="1"/>
    <col min="14092" max="14336" width="9" style="95"/>
    <col min="14337" max="14337" width="15.25" style="95" customWidth="1"/>
    <col min="14338" max="14338" width="9" style="95"/>
    <col min="14339" max="14339" width="40.25" style="95" customWidth="1"/>
    <col min="14340" max="14340" width="12.75" style="95" customWidth="1"/>
    <col min="14341" max="14341" width="12.125" style="95" customWidth="1"/>
    <col min="14342" max="14342" width="12.625" style="95" customWidth="1"/>
    <col min="14343" max="14343" width="11.875" style="95" customWidth="1"/>
    <col min="14344" max="14344" width="10.75" style="95" customWidth="1"/>
    <col min="14345" max="14345" width="9.375" style="95" customWidth="1"/>
    <col min="14346" max="14346" width="10.125" style="95" customWidth="1"/>
    <col min="14347" max="14347" width="8.625" style="95" bestFit="1" customWidth="1"/>
    <col min="14348" max="14592" width="9" style="95"/>
    <col min="14593" max="14593" width="15.25" style="95" customWidth="1"/>
    <col min="14594" max="14594" width="9" style="95"/>
    <col min="14595" max="14595" width="40.25" style="95" customWidth="1"/>
    <col min="14596" max="14596" width="12.75" style="95" customWidth="1"/>
    <col min="14597" max="14597" width="12.125" style="95" customWidth="1"/>
    <col min="14598" max="14598" width="12.625" style="95" customWidth="1"/>
    <col min="14599" max="14599" width="11.875" style="95" customWidth="1"/>
    <col min="14600" max="14600" width="10.75" style="95" customWidth="1"/>
    <col min="14601" max="14601" width="9.375" style="95" customWidth="1"/>
    <col min="14602" max="14602" width="10.125" style="95" customWidth="1"/>
    <col min="14603" max="14603" width="8.625" style="95" bestFit="1" customWidth="1"/>
    <col min="14604" max="14848" width="9" style="95"/>
    <col min="14849" max="14849" width="15.25" style="95" customWidth="1"/>
    <col min="14850" max="14850" width="9" style="95"/>
    <col min="14851" max="14851" width="40.25" style="95" customWidth="1"/>
    <col min="14852" max="14852" width="12.75" style="95" customWidth="1"/>
    <col min="14853" max="14853" width="12.125" style="95" customWidth="1"/>
    <col min="14854" max="14854" width="12.625" style="95" customWidth="1"/>
    <col min="14855" max="14855" width="11.875" style="95" customWidth="1"/>
    <col min="14856" max="14856" width="10.75" style="95" customWidth="1"/>
    <col min="14857" max="14857" width="9.375" style="95" customWidth="1"/>
    <col min="14858" max="14858" width="10.125" style="95" customWidth="1"/>
    <col min="14859" max="14859" width="8.625" style="95" bestFit="1" customWidth="1"/>
    <col min="14860" max="15104" width="9" style="95"/>
    <col min="15105" max="15105" width="15.25" style="95" customWidth="1"/>
    <col min="15106" max="15106" width="9" style="95"/>
    <col min="15107" max="15107" width="40.25" style="95" customWidth="1"/>
    <col min="15108" max="15108" width="12.75" style="95" customWidth="1"/>
    <col min="15109" max="15109" width="12.125" style="95" customWidth="1"/>
    <col min="15110" max="15110" width="12.625" style="95" customWidth="1"/>
    <col min="15111" max="15111" width="11.875" style="95" customWidth="1"/>
    <col min="15112" max="15112" width="10.75" style="95" customWidth="1"/>
    <col min="15113" max="15113" width="9.375" style="95" customWidth="1"/>
    <col min="15114" max="15114" width="10.125" style="95" customWidth="1"/>
    <col min="15115" max="15115" width="8.625" style="95" bestFit="1" customWidth="1"/>
    <col min="15116" max="15360" width="9" style="95"/>
    <col min="15361" max="15361" width="15.25" style="95" customWidth="1"/>
    <col min="15362" max="15362" width="9" style="95"/>
    <col min="15363" max="15363" width="40.25" style="95" customWidth="1"/>
    <col min="15364" max="15364" width="12.75" style="95" customWidth="1"/>
    <col min="15365" max="15365" width="12.125" style="95" customWidth="1"/>
    <col min="15366" max="15366" width="12.625" style="95" customWidth="1"/>
    <col min="15367" max="15367" width="11.875" style="95" customWidth="1"/>
    <col min="15368" max="15368" width="10.75" style="95" customWidth="1"/>
    <col min="15369" max="15369" width="9.375" style="95" customWidth="1"/>
    <col min="15370" max="15370" width="10.125" style="95" customWidth="1"/>
    <col min="15371" max="15371" width="8.625" style="95" bestFit="1" customWidth="1"/>
    <col min="15372" max="15616" width="9" style="95"/>
    <col min="15617" max="15617" width="15.25" style="95" customWidth="1"/>
    <col min="15618" max="15618" width="9" style="95"/>
    <col min="15619" max="15619" width="40.25" style="95" customWidth="1"/>
    <col min="15620" max="15620" width="12.75" style="95" customWidth="1"/>
    <col min="15621" max="15621" width="12.125" style="95" customWidth="1"/>
    <col min="15622" max="15622" width="12.625" style="95" customWidth="1"/>
    <col min="15623" max="15623" width="11.875" style="95" customWidth="1"/>
    <col min="15624" max="15624" width="10.75" style="95" customWidth="1"/>
    <col min="15625" max="15625" width="9.375" style="95" customWidth="1"/>
    <col min="15626" max="15626" width="10.125" style="95" customWidth="1"/>
    <col min="15627" max="15627" width="8.625" style="95" bestFit="1" customWidth="1"/>
    <col min="15628" max="15872" width="9" style="95"/>
    <col min="15873" max="15873" width="15.25" style="95" customWidth="1"/>
    <col min="15874" max="15874" width="9" style="95"/>
    <col min="15875" max="15875" width="40.25" style="95" customWidth="1"/>
    <col min="15876" max="15876" width="12.75" style="95" customWidth="1"/>
    <col min="15877" max="15877" width="12.125" style="95" customWidth="1"/>
    <col min="15878" max="15878" width="12.625" style="95" customWidth="1"/>
    <col min="15879" max="15879" width="11.875" style="95" customWidth="1"/>
    <col min="15880" max="15880" width="10.75" style="95" customWidth="1"/>
    <col min="15881" max="15881" width="9.375" style="95" customWidth="1"/>
    <col min="15882" max="15882" width="10.125" style="95" customWidth="1"/>
    <col min="15883" max="15883" width="8.625" style="95" bestFit="1" customWidth="1"/>
    <col min="15884" max="16128" width="9" style="95"/>
    <col min="16129" max="16129" width="15.25" style="95" customWidth="1"/>
    <col min="16130" max="16130" width="9" style="95"/>
    <col min="16131" max="16131" width="40.25" style="95" customWidth="1"/>
    <col min="16132" max="16132" width="12.75" style="95" customWidth="1"/>
    <col min="16133" max="16133" width="12.125" style="95" customWidth="1"/>
    <col min="16134" max="16134" width="12.625" style="95" customWidth="1"/>
    <col min="16135" max="16135" width="11.875" style="95" customWidth="1"/>
    <col min="16136" max="16136" width="10.75" style="95" customWidth="1"/>
    <col min="16137" max="16137" width="9.375" style="95" customWidth="1"/>
    <col min="16138" max="16138" width="10.125" style="95" customWidth="1"/>
    <col min="16139" max="16139" width="8.625" style="95" bestFit="1" customWidth="1"/>
    <col min="16140" max="16384" width="9" style="95"/>
  </cols>
  <sheetData>
    <row r="1" spans="2:12" ht="18.75" x14ac:dyDescent="0.25">
      <c r="B1" s="94"/>
    </row>
    <row r="2" spans="2:12" ht="16.5" thickBot="1" x14ac:dyDescent="0.3"/>
    <row r="3" spans="2:12" x14ac:dyDescent="0.25">
      <c r="B3" s="96" t="s">
        <v>158</v>
      </c>
      <c r="C3" s="97"/>
      <c r="D3" s="97"/>
      <c r="E3" s="97"/>
      <c r="F3" s="98"/>
    </row>
    <row r="4" spans="2:12" x14ac:dyDescent="0.25">
      <c r="B4" s="99"/>
      <c r="C4" s="100"/>
      <c r="D4" s="100"/>
      <c r="E4" s="100"/>
      <c r="F4" s="101"/>
    </row>
    <row r="5" spans="2:12" x14ac:dyDescent="0.25">
      <c r="B5" s="343" t="s">
        <v>176</v>
      </c>
      <c r="C5" s="345"/>
      <c r="D5" s="345"/>
      <c r="E5" s="345"/>
      <c r="F5" s="346"/>
    </row>
    <row r="6" spans="2:12" x14ac:dyDescent="0.25">
      <c r="B6" s="343" t="s">
        <v>21</v>
      </c>
      <c r="C6" s="345"/>
      <c r="D6" s="345"/>
      <c r="E6" s="345"/>
      <c r="F6" s="346"/>
    </row>
    <row r="7" spans="2:12" x14ac:dyDescent="0.25">
      <c r="B7" s="343" t="s">
        <v>22</v>
      </c>
      <c r="C7" s="345"/>
      <c r="D7" s="345"/>
      <c r="E7" s="345"/>
      <c r="F7" s="346"/>
    </row>
    <row r="8" spans="2:12" x14ac:dyDescent="0.25">
      <c r="B8" s="343" t="s">
        <v>23</v>
      </c>
      <c r="C8" s="345"/>
      <c r="D8" s="345"/>
      <c r="E8" s="345"/>
      <c r="F8" s="346"/>
    </row>
    <row r="9" spans="2:12" ht="16.5" thickBot="1" x14ac:dyDescent="0.3">
      <c r="B9" s="344" t="s">
        <v>24</v>
      </c>
      <c r="C9" s="347"/>
      <c r="D9" s="347"/>
      <c r="E9" s="347"/>
      <c r="F9" s="348"/>
    </row>
    <row r="11" spans="2:12" x14ac:dyDescent="0.25">
      <c r="C11" s="103"/>
    </row>
    <row r="12" spans="2:12" ht="48.75" customHeight="1" x14ac:dyDescent="0.25">
      <c r="D12" s="353"/>
      <c r="E12" s="354"/>
      <c r="F12" s="355"/>
      <c r="G12" s="352" t="s">
        <v>160</v>
      </c>
    </row>
    <row r="13" spans="2:12" ht="23.25" customHeight="1" x14ac:dyDescent="0.25">
      <c r="D13" s="349"/>
      <c r="E13" s="350"/>
      <c r="F13" s="351" t="s">
        <v>159</v>
      </c>
      <c r="G13" s="104">
        <f>+'4_prioritate_2_pielikums'!Y14</f>
        <v>577767.4208348362</v>
      </c>
    </row>
    <row r="14" spans="2:12" s="102" customFormat="1" x14ac:dyDescent="0.25">
      <c r="C14" s="105"/>
      <c r="D14" s="106"/>
      <c r="E14" s="107"/>
      <c r="F14" s="107"/>
      <c r="G14" s="107"/>
    </row>
    <row r="15" spans="2:12" s="102" customFormat="1" x14ac:dyDescent="0.25">
      <c r="F15" s="105"/>
      <c r="G15" s="108" t="s">
        <v>26</v>
      </c>
      <c r="H15" s="109"/>
      <c r="I15" s="109"/>
      <c r="J15" s="109"/>
      <c r="L15" s="358"/>
    </row>
    <row r="16" spans="2:12" s="102" customFormat="1" x14ac:dyDescent="0.25">
      <c r="G16" s="110">
        <f>ROUND(G13/(1+H16),0)</f>
        <v>577767</v>
      </c>
      <c r="H16" s="356">
        <v>0</v>
      </c>
      <c r="I16" s="109"/>
      <c r="J16" s="109"/>
      <c r="L16" s="358"/>
    </row>
    <row r="17" spans="3:12" s="102" customFormat="1" x14ac:dyDescent="0.25">
      <c r="F17" s="111" t="s">
        <v>27</v>
      </c>
      <c r="G17" s="106"/>
      <c r="I17" s="109"/>
      <c r="J17" s="111" t="s">
        <v>28</v>
      </c>
      <c r="L17" s="358"/>
    </row>
    <row r="18" spans="3:12" s="102" customFormat="1" x14ac:dyDescent="0.25">
      <c r="E18" s="357">
        <v>0.4</v>
      </c>
      <c r="F18" s="110">
        <f>ROUND(G16*E18,0)</f>
        <v>231107</v>
      </c>
      <c r="G18" s="112"/>
      <c r="I18" s="109"/>
      <c r="J18" s="110">
        <f>+G16-F18</f>
        <v>346660</v>
      </c>
      <c r="K18" s="113">
        <f>1-E18</f>
        <v>0.6</v>
      </c>
      <c r="L18" s="359" t="s">
        <v>92</v>
      </c>
    </row>
    <row r="19" spans="3:12" s="102" customFormat="1" x14ac:dyDescent="0.25">
      <c r="I19" s="109"/>
      <c r="J19" s="109"/>
      <c r="K19" s="114"/>
      <c r="L19" s="358" t="s">
        <v>93</v>
      </c>
    </row>
    <row r="20" spans="3:12" s="102" customFormat="1" x14ac:dyDescent="0.25">
      <c r="E20" s="115" t="s">
        <v>29</v>
      </c>
      <c r="F20" s="116"/>
      <c r="G20" s="108" t="s">
        <v>30</v>
      </c>
      <c r="I20" s="109"/>
      <c r="J20" s="108" t="s">
        <v>31</v>
      </c>
      <c r="K20" s="114"/>
      <c r="L20" s="358" t="s">
        <v>94</v>
      </c>
    </row>
    <row r="21" spans="3:12" s="102" customFormat="1" x14ac:dyDescent="0.25">
      <c r="C21" s="117"/>
      <c r="D21" s="357">
        <v>0.35</v>
      </c>
      <c r="E21" s="110">
        <f>ROUND(F18*D21,0)</f>
        <v>80887</v>
      </c>
      <c r="G21" s="110">
        <f>+F18-E21</f>
        <v>150220</v>
      </c>
      <c r="H21" s="118">
        <f>1-D21</f>
        <v>0.65</v>
      </c>
      <c r="I21" s="109"/>
      <c r="J21" s="110">
        <f>ROUND(J18*K21,0)</f>
        <v>346660</v>
      </c>
      <c r="K21" s="113">
        <v>1</v>
      </c>
      <c r="L21" s="360">
        <v>40118</v>
      </c>
    </row>
    <row r="22" spans="3:12" s="102" customFormat="1" x14ac:dyDescent="0.25">
      <c r="I22" s="109"/>
      <c r="J22" s="109"/>
      <c r="L22" s="358"/>
    </row>
    <row r="23" spans="3:12" s="102" customFormat="1" x14ac:dyDescent="0.25">
      <c r="C23" s="119" t="s">
        <v>32</v>
      </c>
      <c r="D23" s="120" t="s">
        <v>33</v>
      </c>
      <c r="E23" s="121">
        <v>0.2</v>
      </c>
      <c r="F23" s="109"/>
      <c r="J23" s="109"/>
      <c r="L23" s="358"/>
    </row>
    <row r="24" spans="3:12" s="102" customFormat="1" x14ac:dyDescent="0.25">
      <c r="D24" s="120" t="s">
        <v>34</v>
      </c>
      <c r="E24" s="121">
        <v>0.35089999999999999</v>
      </c>
      <c r="F24" s="109"/>
      <c r="G24" s="122"/>
      <c r="J24" s="109"/>
    </row>
    <row r="25" spans="3:12" s="102" customFormat="1" x14ac:dyDescent="0.25">
      <c r="D25" s="123" t="s">
        <v>25</v>
      </c>
      <c r="E25" s="124">
        <f>SUM(E23:E24)</f>
        <v>0.55089999999999995</v>
      </c>
      <c r="I25" s="105"/>
      <c r="J25" s="105"/>
    </row>
    <row r="26" spans="3:12" s="102" customFormat="1" ht="15" customHeight="1" x14ac:dyDescent="0.25">
      <c r="J26" s="109"/>
    </row>
    <row r="27" spans="3:12" s="102" customFormat="1" x14ac:dyDescent="0.25">
      <c r="E27" s="108" t="s">
        <v>35</v>
      </c>
      <c r="J27" s="109"/>
    </row>
    <row r="28" spans="3:12" s="102" customFormat="1" ht="15" customHeight="1" x14ac:dyDescent="0.25">
      <c r="D28" s="125">
        <f>+E28/E21</f>
        <v>0.48072001681357945</v>
      </c>
      <c r="E28" s="110">
        <f>ROUND((E21*E24),0)+ROUND((E21-E21*E24)*E23,0)</f>
        <v>38884</v>
      </c>
      <c r="F28" s="126"/>
      <c r="G28" s="126"/>
      <c r="J28" s="109"/>
    </row>
    <row r="29" spans="3:12" s="102" customFormat="1" ht="15" customHeight="1" x14ac:dyDescent="0.25">
      <c r="H29" s="109"/>
      <c r="I29" s="109"/>
    </row>
    <row r="30" spans="3:12" s="102" customFormat="1" x14ac:dyDescent="0.25">
      <c r="E30" s="108" t="s">
        <v>36</v>
      </c>
      <c r="H30" s="109"/>
      <c r="I30" s="109"/>
    </row>
    <row r="31" spans="3:12" s="102" customFormat="1" x14ac:dyDescent="0.25">
      <c r="D31" s="113">
        <f>+E31/G16</f>
        <v>7.2698856113277491E-2</v>
      </c>
      <c r="E31" s="110">
        <f>+E21-E28</f>
        <v>42003</v>
      </c>
      <c r="H31" s="127"/>
    </row>
    <row r="32" spans="3:12" s="102" customFormat="1" x14ac:dyDescent="0.25"/>
    <row r="33" spans="5:10" s="102" customFormat="1" x14ac:dyDescent="0.25">
      <c r="F33" s="108" t="s">
        <v>37</v>
      </c>
      <c r="H33" s="127"/>
      <c r="I33" s="108" t="s">
        <v>38</v>
      </c>
    </row>
    <row r="34" spans="5:10" s="102" customFormat="1" x14ac:dyDescent="0.25">
      <c r="E34" s="113">
        <f>+F34/G16</f>
        <v>0.33269985997815726</v>
      </c>
      <c r="F34" s="110">
        <f>+E31+G21</f>
        <v>192223</v>
      </c>
      <c r="H34" s="127"/>
      <c r="I34" s="110">
        <f>+J21</f>
        <v>346660</v>
      </c>
      <c r="J34" s="113">
        <f>+I34/J18</f>
        <v>1</v>
      </c>
    </row>
    <row r="35" spans="5:10" s="102" customFormat="1" x14ac:dyDescent="0.25">
      <c r="G35" s="112"/>
      <c r="H35" s="127"/>
    </row>
    <row r="36" spans="5:10" s="102" customFormat="1" x14ac:dyDescent="0.25">
      <c r="G36" s="108" t="s">
        <v>39</v>
      </c>
      <c r="H36" s="127"/>
    </row>
    <row r="37" spans="5:10" s="102" customFormat="1" x14ac:dyDescent="0.25">
      <c r="G37" s="110">
        <f>+F34+I34</f>
        <v>538883</v>
      </c>
      <c r="H37" s="127"/>
    </row>
    <row r="38" spans="5:10" s="102" customFormat="1" x14ac:dyDescent="0.25">
      <c r="G38" s="125">
        <f>+G37/G16</f>
        <v>0.93269951381785388</v>
      </c>
      <c r="H38" s="127"/>
    </row>
    <row r="39" spans="5:10" x14ac:dyDescent="0.25">
      <c r="E39" s="128"/>
      <c r="F39" s="129"/>
    </row>
    <row r="40" spans="5:10" x14ac:dyDescent="0.25">
      <c r="E40" s="128"/>
      <c r="F40" s="129"/>
    </row>
    <row r="41" spans="5:10" x14ac:dyDescent="0.25">
      <c r="E41" s="128"/>
      <c r="F41" s="129"/>
    </row>
    <row r="42" spans="5:10" x14ac:dyDescent="0.25">
      <c r="E42" s="128">
        <f>17316.42 / 62835.99</f>
        <v>0.27558123935025131</v>
      </c>
      <c r="F42" s="129"/>
    </row>
    <row r="43" spans="5:10" x14ac:dyDescent="0.25">
      <c r="E43" s="128"/>
      <c r="F43" s="129"/>
    </row>
    <row r="44" spans="5:10" x14ac:dyDescent="0.25">
      <c r="E44" s="128"/>
      <c r="F44" s="129"/>
    </row>
    <row r="45" spans="5:10" x14ac:dyDescent="0.25">
      <c r="E45" s="128"/>
      <c r="F45" s="129"/>
    </row>
    <row r="46" spans="5:10" x14ac:dyDescent="0.25">
      <c r="E46" s="128"/>
      <c r="F46" s="129"/>
    </row>
    <row r="47" spans="5:10" x14ac:dyDescent="0.25">
      <c r="E47" s="128"/>
      <c r="F47" s="129"/>
    </row>
  </sheetData>
  <pageMargins left="0.23622047244094491" right="0.11811023622047245" top="0.51181102362204722" bottom="0.55118110236220474" header="0.31496062992125984" footer="0.22"/>
  <pageSetup paperSize="9" scale="86" orientation="landscape" r:id="rId1"/>
  <headerFooter>
    <oddFooter>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view="pageBreakPreview" zoomScaleNormal="100" zoomScaleSheetLayoutView="100" workbookViewId="0">
      <selection activeCell="D29" sqref="D29"/>
    </sheetView>
  </sheetViews>
  <sheetFormatPr defaultRowHeight="15" x14ac:dyDescent="0.25"/>
  <cols>
    <col min="1" max="1" width="36.375" style="131" customWidth="1"/>
    <col min="2" max="2" width="11.5" style="131" customWidth="1"/>
    <col min="3" max="4" width="14.75" style="131" customWidth="1"/>
    <col min="5" max="5" width="1.375" style="131" customWidth="1"/>
    <col min="6" max="8" width="11.125" style="131" customWidth="1"/>
    <col min="9" max="9" width="15.25" style="131" customWidth="1"/>
    <col min="10" max="10" width="10.875" style="131" customWidth="1"/>
    <col min="11" max="11" width="11.125" style="131" customWidth="1"/>
    <col min="12" max="256" width="9" style="131"/>
    <col min="257" max="257" width="36.375" style="131" customWidth="1"/>
    <col min="258" max="258" width="11.5" style="131" customWidth="1"/>
    <col min="259" max="260" width="14.75" style="131" customWidth="1"/>
    <col min="261" max="261" width="1.375" style="131" customWidth="1"/>
    <col min="262" max="265" width="11.125" style="131" customWidth="1"/>
    <col min="266" max="266" width="10.875" style="131" customWidth="1"/>
    <col min="267" max="267" width="11.125" style="131" customWidth="1"/>
    <col min="268" max="512" width="9" style="131"/>
    <col min="513" max="513" width="36.375" style="131" customWidth="1"/>
    <col min="514" max="514" width="11.5" style="131" customWidth="1"/>
    <col min="515" max="516" width="14.75" style="131" customWidth="1"/>
    <col min="517" max="517" width="1.375" style="131" customWidth="1"/>
    <col min="518" max="521" width="11.125" style="131" customWidth="1"/>
    <col min="522" max="522" width="10.875" style="131" customWidth="1"/>
    <col min="523" max="523" width="11.125" style="131" customWidth="1"/>
    <col min="524" max="768" width="9" style="131"/>
    <col min="769" max="769" width="36.375" style="131" customWidth="1"/>
    <col min="770" max="770" width="11.5" style="131" customWidth="1"/>
    <col min="771" max="772" width="14.75" style="131" customWidth="1"/>
    <col min="773" max="773" width="1.375" style="131" customWidth="1"/>
    <col min="774" max="777" width="11.125" style="131" customWidth="1"/>
    <col min="778" max="778" width="10.875" style="131" customWidth="1"/>
    <col min="779" max="779" width="11.125" style="131" customWidth="1"/>
    <col min="780" max="1024" width="9" style="131"/>
    <col min="1025" max="1025" width="36.375" style="131" customWidth="1"/>
    <col min="1026" max="1026" width="11.5" style="131" customWidth="1"/>
    <col min="1027" max="1028" width="14.75" style="131" customWidth="1"/>
    <col min="1029" max="1029" width="1.375" style="131" customWidth="1"/>
    <col min="1030" max="1033" width="11.125" style="131" customWidth="1"/>
    <col min="1034" max="1034" width="10.875" style="131" customWidth="1"/>
    <col min="1035" max="1035" width="11.125" style="131" customWidth="1"/>
    <col min="1036" max="1280" width="9" style="131"/>
    <col min="1281" max="1281" width="36.375" style="131" customWidth="1"/>
    <col min="1282" max="1282" width="11.5" style="131" customWidth="1"/>
    <col min="1283" max="1284" width="14.75" style="131" customWidth="1"/>
    <col min="1285" max="1285" width="1.375" style="131" customWidth="1"/>
    <col min="1286" max="1289" width="11.125" style="131" customWidth="1"/>
    <col min="1290" max="1290" width="10.875" style="131" customWidth="1"/>
    <col min="1291" max="1291" width="11.125" style="131" customWidth="1"/>
    <col min="1292" max="1536" width="9" style="131"/>
    <col min="1537" max="1537" width="36.375" style="131" customWidth="1"/>
    <col min="1538" max="1538" width="11.5" style="131" customWidth="1"/>
    <col min="1539" max="1540" width="14.75" style="131" customWidth="1"/>
    <col min="1541" max="1541" width="1.375" style="131" customWidth="1"/>
    <col min="1542" max="1545" width="11.125" style="131" customWidth="1"/>
    <col min="1546" max="1546" width="10.875" style="131" customWidth="1"/>
    <col min="1547" max="1547" width="11.125" style="131" customWidth="1"/>
    <col min="1548" max="1792" width="9" style="131"/>
    <col min="1793" max="1793" width="36.375" style="131" customWidth="1"/>
    <col min="1794" max="1794" width="11.5" style="131" customWidth="1"/>
    <col min="1795" max="1796" width="14.75" style="131" customWidth="1"/>
    <col min="1797" max="1797" width="1.375" style="131" customWidth="1"/>
    <col min="1798" max="1801" width="11.125" style="131" customWidth="1"/>
    <col min="1802" max="1802" width="10.875" style="131" customWidth="1"/>
    <col min="1803" max="1803" width="11.125" style="131" customWidth="1"/>
    <col min="1804" max="2048" width="9" style="131"/>
    <col min="2049" max="2049" width="36.375" style="131" customWidth="1"/>
    <col min="2050" max="2050" width="11.5" style="131" customWidth="1"/>
    <col min="2051" max="2052" width="14.75" style="131" customWidth="1"/>
    <col min="2053" max="2053" width="1.375" style="131" customWidth="1"/>
    <col min="2054" max="2057" width="11.125" style="131" customWidth="1"/>
    <col min="2058" max="2058" width="10.875" style="131" customWidth="1"/>
    <col min="2059" max="2059" width="11.125" style="131" customWidth="1"/>
    <col min="2060" max="2304" width="9" style="131"/>
    <col min="2305" max="2305" width="36.375" style="131" customWidth="1"/>
    <col min="2306" max="2306" width="11.5" style="131" customWidth="1"/>
    <col min="2307" max="2308" width="14.75" style="131" customWidth="1"/>
    <col min="2309" max="2309" width="1.375" style="131" customWidth="1"/>
    <col min="2310" max="2313" width="11.125" style="131" customWidth="1"/>
    <col min="2314" max="2314" width="10.875" style="131" customWidth="1"/>
    <col min="2315" max="2315" width="11.125" style="131" customWidth="1"/>
    <col min="2316" max="2560" width="9" style="131"/>
    <col min="2561" max="2561" width="36.375" style="131" customWidth="1"/>
    <col min="2562" max="2562" width="11.5" style="131" customWidth="1"/>
    <col min="2563" max="2564" width="14.75" style="131" customWidth="1"/>
    <col min="2565" max="2565" width="1.375" style="131" customWidth="1"/>
    <col min="2566" max="2569" width="11.125" style="131" customWidth="1"/>
    <col min="2570" max="2570" width="10.875" style="131" customWidth="1"/>
    <col min="2571" max="2571" width="11.125" style="131" customWidth="1"/>
    <col min="2572" max="2816" width="9" style="131"/>
    <col min="2817" max="2817" width="36.375" style="131" customWidth="1"/>
    <col min="2818" max="2818" width="11.5" style="131" customWidth="1"/>
    <col min="2819" max="2820" width="14.75" style="131" customWidth="1"/>
    <col min="2821" max="2821" width="1.375" style="131" customWidth="1"/>
    <col min="2822" max="2825" width="11.125" style="131" customWidth="1"/>
    <col min="2826" max="2826" width="10.875" style="131" customWidth="1"/>
    <col min="2827" max="2827" width="11.125" style="131" customWidth="1"/>
    <col min="2828" max="3072" width="9" style="131"/>
    <col min="3073" max="3073" width="36.375" style="131" customWidth="1"/>
    <col min="3074" max="3074" width="11.5" style="131" customWidth="1"/>
    <col min="3075" max="3076" width="14.75" style="131" customWidth="1"/>
    <col min="3077" max="3077" width="1.375" style="131" customWidth="1"/>
    <col min="3078" max="3081" width="11.125" style="131" customWidth="1"/>
    <col min="3082" max="3082" width="10.875" style="131" customWidth="1"/>
    <col min="3083" max="3083" width="11.125" style="131" customWidth="1"/>
    <col min="3084" max="3328" width="9" style="131"/>
    <col min="3329" max="3329" width="36.375" style="131" customWidth="1"/>
    <col min="3330" max="3330" width="11.5" style="131" customWidth="1"/>
    <col min="3331" max="3332" width="14.75" style="131" customWidth="1"/>
    <col min="3333" max="3333" width="1.375" style="131" customWidth="1"/>
    <col min="3334" max="3337" width="11.125" style="131" customWidth="1"/>
    <col min="3338" max="3338" width="10.875" style="131" customWidth="1"/>
    <col min="3339" max="3339" width="11.125" style="131" customWidth="1"/>
    <col min="3340" max="3584" width="9" style="131"/>
    <col min="3585" max="3585" width="36.375" style="131" customWidth="1"/>
    <col min="3586" max="3586" width="11.5" style="131" customWidth="1"/>
    <col min="3587" max="3588" width="14.75" style="131" customWidth="1"/>
    <col min="3589" max="3589" width="1.375" style="131" customWidth="1"/>
    <col min="3590" max="3593" width="11.125" style="131" customWidth="1"/>
    <col min="3594" max="3594" width="10.875" style="131" customWidth="1"/>
    <col min="3595" max="3595" width="11.125" style="131" customWidth="1"/>
    <col min="3596" max="3840" width="9" style="131"/>
    <col min="3841" max="3841" width="36.375" style="131" customWidth="1"/>
    <col min="3842" max="3842" width="11.5" style="131" customWidth="1"/>
    <col min="3843" max="3844" width="14.75" style="131" customWidth="1"/>
    <col min="3845" max="3845" width="1.375" style="131" customWidth="1"/>
    <col min="3846" max="3849" width="11.125" style="131" customWidth="1"/>
    <col min="3850" max="3850" width="10.875" style="131" customWidth="1"/>
    <col min="3851" max="3851" width="11.125" style="131" customWidth="1"/>
    <col min="3852" max="4096" width="9" style="131"/>
    <col min="4097" max="4097" width="36.375" style="131" customWidth="1"/>
    <col min="4098" max="4098" width="11.5" style="131" customWidth="1"/>
    <col min="4099" max="4100" width="14.75" style="131" customWidth="1"/>
    <col min="4101" max="4101" width="1.375" style="131" customWidth="1"/>
    <col min="4102" max="4105" width="11.125" style="131" customWidth="1"/>
    <col min="4106" max="4106" width="10.875" style="131" customWidth="1"/>
    <col min="4107" max="4107" width="11.125" style="131" customWidth="1"/>
    <col min="4108" max="4352" width="9" style="131"/>
    <col min="4353" max="4353" width="36.375" style="131" customWidth="1"/>
    <col min="4354" max="4354" width="11.5" style="131" customWidth="1"/>
    <col min="4355" max="4356" width="14.75" style="131" customWidth="1"/>
    <col min="4357" max="4357" width="1.375" style="131" customWidth="1"/>
    <col min="4358" max="4361" width="11.125" style="131" customWidth="1"/>
    <col min="4362" max="4362" width="10.875" style="131" customWidth="1"/>
    <col min="4363" max="4363" width="11.125" style="131" customWidth="1"/>
    <col min="4364" max="4608" width="9" style="131"/>
    <col min="4609" max="4609" width="36.375" style="131" customWidth="1"/>
    <col min="4610" max="4610" width="11.5" style="131" customWidth="1"/>
    <col min="4611" max="4612" width="14.75" style="131" customWidth="1"/>
    <col min="4613" max="4613" width="1.375" style="131" customWidth="1"/>
    <col min="4614" max="4617" width="11.125" style="131" customWidth="1"/>
    <col min="4618" max="4618" width="10.875" style="131" customWidth="1"/>
    <col min="4619" max="4619" width="11.125" style="131" customWidth="1"/>
    <col min="4620" max="4864" width="9" style="131"/>
    <col min="4865" max="4865" width="36.375" style="131" customWidth="1"/>
    <col min="4866" max="4866" width="11.5" style="131" customWidth="1"/>
    <col min="4867" max="4868" width="14.75" style="131" customWidth="1"/>
    <col min="4869" max="4869" width="1.375" style="131" customWidth="1"/>
    <col min="4870" max="4873" width="11.125" style="131" customWidth="1"/>
    <col min="4874" max="4874" width="10.875" style="131" customWidth="1"/>
    <col min="4875" max="4875" width="11.125" style="131" customWidth="1"/>
    <col min="4876" max="5120" width="9" style="131"/>
    <col min="5121" max="5121" width="36.375" style="131" customWidth="1"/>
    <col min="5122" max="5122" width="11.5" style="131" customWidth="1"/>
    <col min="5123" max="5124" width="14.75" style="131" customWidth="1"/>
    <col min="5125" max="5125" width="1.375" style="131" customWidth="1"/>
    <col min="5126" max="5129" width="11.125" style="131" customWidth="1"/>
    <col min="5130" max="5130" width="10.875" style="131" customWidth="1"/>
    <col min="5131" max="5131" width="11.125" style="131" customWidth="1"/>
    <col min="5132" max="5376" width="9" style="131"/>
    <col min="5377" max="5377" width="36.375" style="131" customWidth="1"/>
    <col min="5378" max="5378" width="11.5" style="131" customWidth="1"/>
    <col min="5379" max="5380" width="14.75" style="131" customWidth="1"/>
    <col min="5381" max="5381" width="1.375" style="131" customWidth="1"/>
    <col min="5382" max="5385" width="11.125" style="131" customWidth="1"/>
    <col min="5386" max="5386" width="10.875" style="131" customWidth="1"/>
    <col min="5387" max="5387" width="11.125" style="131" customWidth="1"/>
    <col min="5388" max="5632" width="9" style="131"/>
    <col min="5633" max="5633" width="36.375" style="131" customWidth="1"/>
    <col min="5634" max="5634" width="11.5" style="131" customWidth="1"/>
    <col min="5635" max="5636" width="14.75" style="131" customWidth="1"/>
    <col min="5637" max="5637" width="1.375" style="131" customWidth="1"/>
    <col min="5638" max="5641" width="11.125" style="131" customWidth="1"/>
    <col min="5642" max="5642" width="10.875" style="131" customWidth="1"/>
    <col min="5643" max="5643" width="11.125" style="131" customWidth="1"/>
    <col min="5644" max="5888" width="9" style="131"/>
    <col min="5889" max="5889" width="36.375" style="131" customWidth="1"/>
    <col min="5890" max="5890" width="11.5" style="131" customWidth="1"/>
    <col min="5891" max="5892" width="14.75" style="131" customWidth="1"/>
    <col min="5893" max="5893" width="1.375" style="131" customWidth="1"/>
    <col min="5894" max="5897" width="11.125" style="131" customWidth="1"/>
    <col min="5898" max="5898" width="10.875" style="131" customWidth="1"/>
    <col min="5899" max="5899" width="11.125" style="131" customWidth="1"/>
    <col min="5900" max="6144" width="9" style="131"/>
    <col min="6145" max="6145" width="36.375" style="131" customWidth="1"/>
    <col min="6146" max="6146" width="11.5" style="131" customWidth="1"/>
    <col min="6147" max="6148" width="14.75" style="131" customWidth="1"/>
    <col min="6149" max="6149" width="1.375" style="131" customWidth="1"/>
    <col min="6150" max="6153" width="11.125" style="131" customWidth="1"/>
    <col min="6154" max="6154" width="10.875" style="131" customWidth="1"/>
    <col min="6155" max="6155" width="11.125" style="131" customWidth="1"/>
    <col min="6156" max="6400" width="9" style="131"/>
    <col min="6401" max="6401" width="36.375" style="131" customWidth="1"/>
    <col min="6402" max="6402" width="11.5" style="131" customWidth="1"/>
    <col min="6403" max="6404" width="14.75" style="131" customWidth="1"/>
    <col min="6405" max="6405" width="1.375" style="131" customWidth="1"/>
    <col min="6406" max="6409" width="11.125" style="131" customWidth="1"/>
    <col min="6410" max="6410" width="10.875" style="131" customWidth="1"/>
    <col min="6411" max="6411" width="11.125" style="131" customWidth="1"/>
    <col min="6412" max="6656" width="9" style="131"/>
    <col min="6657" max="6657" width="36.375" style="131" customWidth="1"/>
    <col min="6658" max="6658" width="11.5" style="131" customWidth="1"/>
    <col min="6659" max="6660" width="14.75" style="131" customWidth="1"/>
    <col min="6661" max="6661" width="1.375" style="131" customWidth="1"/>
    <col min="6662" max="6665" width="11.125" style="131" customWidth="1"/>
    <col min="6666" max="6666" width="10.875" style="131" customWidth="1"/>
    <col min="6667" max="6667" width="11.125" style="131" customWidth="1"/>
    <col min="6668" max="6912" width="9" style="131"/>
    <col min="6913" max="6913" width="36.375" style="131" customWidth="1"/>
    <col min="6914" max="6914" width="11.5" style="131" customWidth="1"/>
    <col min="6915" max="6916" width="14.75" style="131" customWidth="1"/>
    <col min="6917" max="6917" width="1.375" style="131" customWidth="1"/>
    <col min="6918" max="6921" width="11.125" style="131" customWidth="1"/>
    <col min="6922" max="6922" width="10.875" style="131" customWidth="1"/>
    <col min="6923" max="6923" width="11.125" style="131" customWidth="1"/>
    <col min="6924" max="7168" width="9" style="131"/>
    <col min="7169" max="7169" width="36.375" style="131" customWidth="1"/>
    <col min="7170" max="7170" width="11.5" style="131" customWidth="1"/>
    <col min="7171" max="7172" width="14.75" style="131" customWidth="1"/>
    <col min="7173" max="7173" width="1.375" style="131" customWidth="1"/>
    <col min="7174" max="7177" width="11.125" style="131" customWidth="1"/>
    <col min="7178" max="7178" width="10.875" style="131" customWidth="1"/>
    <col min="7179" max="7179" width="11.125" style="131" customWidth="1"/>
    <col min="7180" max="7424" width="9" style="131"/>
    <col min="7425" max="7425" width="36.375" style="131" customWidth="1"/>
    <col min="7426" max="7426" width="11.5" style="131" customWidth="1"/>
    <col min="7427" max="7428" width="14.75" style="131" customWidth="1"/>
    <col min="7429" max="7429" width="1.375" style="131" customWidth="1"/>
    <col min="7430" max="7433" width="11.125" style="131" customWidth="1"/>
    <col min="7434" max="7434" width="10.875" style="131" customWidth="1"/>
    <col min="7435" max="7435" width="11.125" style="131" customWidth="1"/>
    <col min="7436" max="7680" width="9" style="131"/>
    <col min="7681" max="7681" width="36.375" style="131" customWidth="1"/>
    <col min="7682" max="7682" width="11.5" style="131" customWidth="1"/>
    <col min="7683" max="7684" width="14.75" style="131" customWidth="1"/>
    <col min="7685" max="7685" width="1.375" style="131" customWidth="1"/>
    <col min="7686" max="7689" width="11.125" style="131" customWidth="1"/>
    <col min="7690" max="7690" width="10.875" style="131" customWidth="1"/>
    <col min="7691" max="7691" width="11.125" style="131" customWidth="1"/>
    <col min="7692" max="7936" width="9" style="131"/>
    <col min="7937" max="7937" width="36.375" style="131" customWidth="1"/>
    <col min="7938" max="7938" width="11.5" style="131" customWidth="1"/>
    <col min="7939" max="7940" width="14.75" style="131" customWidth="1"/>
    <col min="7941" max="7941" width="1.375" style="131" customWidth="1"/>
    <col min="7942" max="7945" width="11.125" style="131" customWidth="1"/>
    <col min="7946" max="7946" width="10.875" style="131" customWidth="1"/>
    <col min="7947" max="7947" width="11.125" style="131" customWidth="1"/>
    <col min="7948" max="8192" width="9" style="131"/>
    <col min="8193" max="8193" width="36.375" style="131" customWidth="1"/>
    <col min="8194" max="8194" width="11.5" style="131" customWidth="1"/>
    <col min="8195" max="8196" width="14.75" style="131" customWidth="1"/>
    <col min="8197" max="8197" width="1.375" style="131" customWidth="1"/>
    <col min="8198" max="8201" width="11.125" style="131" customWidth="1"/>
    <col min="8202" max="8202" width="10.875" style="131" customWidth="1"/>
    <col min="8203" max="8203" width="11.125" style="131" customWidth="1"/>
    <col min="8204" max="8448" width="9" style="131"/>
    <col min="8449" max="8449" width="36.375" style="131" customWidth="1"/>
    <col min="8450" max="8450" width="11.5" style="131" customWidth="1"/>
    <col min="8451" max="8452" width="14.75" style="131" customWidth="1"/>
    <col min="8453" max="8453" width="1.375" style="131" customWidth="1"/>
    <col min="8454" max="8457" width="11.125" style="131" customWidth="1"/>
    <col min="8458" max="8458" width="10.875" style="131" customWidth="1"/>
    <col min="8459" max="8459" width="11.125" style="131" customWidth="1"/>
    <col min="8460" max="8704" width="9" style="131"/>
    <col min="8705" max="8705" width="36.375" style="131" customWidth="1"/>
    <col min="8706" max="8706" width="11.5" style="131" customWidth="1"/>
    <col min="8707" max="8708" width="14.75" style="131" customWidth="1"/>
    <col min="8709" max="8709" width="1.375" style="131" customWidth="1"/>
    <col min="8710" max="8713" width="11.125" style="131" customWidth="1"/>
    <col min="8714" max="8714" width="10.875" style="131" customWidth="1"/>
    <col min="8715" max="8715" width="11.125" style="131" customWidth="1"/>
    <col min="8716" max="8960" width="9" style="131"/>
    <col min="8961" max="8961" width="36.375" style="131" customWidth="1"/>
    <col min="8962" max="8962" width="11.5" style="131" customWidth="1"/>
    <col min="8963" max="8964" width="14.75" style="131" customWidth="1"/>
    <col min="8965" max="8965" width="1.375" style="131" customWidth="1"/>
    <col min="8966" max="8969" width="11.125" style="131" customWidth="1"/>
    <col min="8970" max="8970" width="10.875" style="131" customWidth="1"/>
    <col min="8971" max="8971" width="11.125" style="131" customWidth="1"/>
    <col min="8972" max="9216" width="9" style="131"/>
    <col min="9217" max="9217" width="36.375" style="131" customWidth="1"/>
    <col min="9218" max="9218" width="11.5" style="131" customWidth="1"/>
    <col min="9219" max="9220" width="14.75" style="131" customWidth="1"/>
    <col min="9221" max="9221" width="1.375" style="131" customWidth="1"/>
    <col min="9222" max="9225" width="11.125" style="131" customWidth="1"/>
    <col min="9226" max="9226" width="10.875" style="131" customWidth="1"/>
    <col min="9227" max="9227" width="11.125" style="131" customWidth="1"/>
    <col min="9228" max="9472" width="9" style="131"/>
    <col min="9473" max="9473" width="36.375" style="131" customWidth="1"/>
    <col min="9474" max="9474" width="11.5" style="131" customWidth="1"/>
    <col min="9475" max="9476" width="14.75" style="131" customWidth="1"/>
    <col min="9477" max="9477" width="1.375" style="131" customWidth="1"/>
    <col min="9478" max="9481" width="11.125" style="131" customWidth="1"/>
    <col min="9482" max="9482" width="10.875" style="131" customWidth="1"/>
    <col min="9483" max="9483" width="11.125" style="131" customWidth="1"/>
    <col min="9484" max="9728" width="9" style="131"/>
    <col min="9729" max="9729" width="36.375" style="131" customWidth="1"/>
    <col min="9730" max="9730" width="11.5" style="131" customWidth="1"/>
    <col min="9731" max="9732" width="14.75" style="131" customWidth="1"/>
    <col min="9733" max="9733" width="1.375" style="131" customWidth="1"/>
    <col min="9734" max="9737" width="11.125" style="131" customWidth="1"/>
    <col min="9738" max="9738" width="10.875" style="131" customWidth="1"/>
    <col min="9739" max="9739" width="11.125" style="131" customWidth="1"/>
    <col min="9740" max="9984" width="9" style="131"/>
    <col min="9985" max="9985" width="36.375" style="131" customWidth="1"/>
    <col min="9986" max="9986" width="11.5" style="131" customWidth="1"/>
    <col min="9987" max="9988" width="14.75" style="131" customWidth="1"/>
    <col min="9989" max="9989" width="1.375" style="131" customWidth="1"/>
    <col min="9990" max="9993" width="11.125" style="131" customWidth="1"/>
    <col min="9994" max="9994" width="10.875" style="131" customWidth="1"/>
    <col min="9995" max="9995" width="11.125" style="131" customWidth="1"/>
    <col min="9996" max="10240" width="9" style="131"/>
    <col min="10241" max="10241" width="36.375" style="131" customWidth="1"/>
    <col min="10242" max="10242" width="11.5" style="131" customWidth="1"/>
    <col min="10243" max="10244" width="14.75" style="131" customWidth="1"/>
    <col min="10245" max="10245" width="1.375" style="131" customWidth="1"/>
    <col min="10246" max="10249" width="11.125" style="131" customWidth="1"/>
    <col min="10250" max="10250" width="10.875" style="131" customWidth="1"/>
    <col min="10251" max="10251" width="11.125" style="131" customWidth="1"/>
    <col min="10252" max="10496" width="9" style="131"/>
    <col min="10497" max="10497" width="36.375" style="131" customWidth="1"/>
    <col min="10498" max="10498" width="11.5" style="131" customWidth="1"/>
    <col min="10499" max="10500" width="14.75" style="131" customWidth="1"/>
    <col min="10501" max="10501" width="1.375" style="131" customWidth="1"/>
    <col min="10502" max="10505" width="11.125" style="131" customWidth="1"/>
    <col min="10506" max="10506" width="10.875" style="131" customWidth="1"/>
    <col min="10507" max="10507" width="11.125" style="131" customWidth="1"/>
    <col min="10508" max="10752" width="9" style="131"/>
    <col min="10753" max="10753" width="36.375" style="131" customWidth="1"/>
    <col min="10754" max="10754" width="11.5" style="131" customWidth="1"/>
    <col min="10755" max="10756" width="14.75" style="131" customWidth="1"/>
    <col min="10757" max="10757" width="1.375" style="131" customWidth="1"/>
    <col min="10758" max="10761" width="11.125" style="131" customWidth="1"/>
    <col min="10762" max="10762" width="10.875" style="131" customWidth="1"/>
    <col min="10763" max="10763" width="11.125" style="131" customWidth="1"/>
    <col min="10764" max="11008" width="9" style="131"/>
    <col min="11009" max="11009" width="36.375" style="131" customWidth="1"/>
    <col min="11010" max="11010" width="11.5" style="131" customWidth="1"/>
    <col min="11011" max="11012" width="14.75" style="131" customWidth="1"/>
    <col min="11013" max="11013" width="1.375" style="131" customWidth="1"/>
    <col min="11014" max="11017" width="11.125" style="131" customWidth="1"/>
    <col min="11018" max="11018" width="10.875" style="131" customWidth="1"/>
    <col min="11019" max="11019" width="11.125" style="131" customWidth="1"/>
    <col min="11020" max="11264" width="9" style="131"/>
    <col min="11265" max="11265" width="36.375" style="131" customWidth="1"/>
    <col min="11266" max="11266" width="11.5" style="131" customWidth="1"/>
    <col min="11267" max="11268" width="14.75" style="131" customWidth="1"/>
    <col min="11269" max="11269" width="1.375" style="131" customWidth="1"/>
    <col min="11270" max="11273" width="11.125" style="131" customWidth="1"/>
    <col min="11274" max="11274" width="10.875" style="131" customWidth="1"/>
    <col min="11275" max="11275" width="11.125" style="131" customWidth="1"/>
    <col min="11276" max="11520" width="9" style="131"/>
    <col min="11521" max="11521" width="36.375" style="131" customWidth="1"/>
    <col min="11522" max="11522" width="11.5" style="131" customWidth="1"/>
    <col min="11523" max="11524" width="14.75" style="131" customWidth="1"/>
    <col min="11525" max="11525" width="1.375" style="131" customWidth="1"/>
    <col min="11526" max="11529" width="11.125" style="131" customWidth="1"/>
    <col min="11530" max="11530" width="10.875" style="131" customWidth="1"/>
    <col min="11531" max="11531" width="11.125" style="131" customWidth="1"/>
    <col min="11532" max="11776" width="9" style="131"/>
    <col min="11777" max="11777" width="36.375" style="131" customWidth="1"/>
    <col min="11778" max="11778" width="11.5" style="131" customWidth="1"/>
    <col min="11779" max="11780" width="14.75" style="131" customWidth="1"/>
    <col min="11781" max="11781" width="1.375" style="131" customWidth="1"/>
    <col min="11782" max="11785" width="11.125" style="131" customWidth="1"/>
    <col min="11786" max="11786" width="10.875" style="131" customWidth="1"/>
    <col min="11787" max="11787" width="11.125" style="131" customWidth="1"/>
    <col min="11788" max="12032" width="9" style="131"/>
    <col min="12033" max="12033" width="36.375" style="131" customWidth="1"/>
    <col min="12034" max="12034" width="11.5" style="131" customWidth="1"/>
    <col min="12035" max="12036" width="14.75" style="131" customWidth="1"/>
    <col min="12037" max="12037" width="1.375" style="131" customWidth="1"/>
    <col min="12038" max="12041" width="11.125" style="131" customWidth="1"/>
    <col min="12042" max="12042" width="10.875" style="131" customWidth="1"/>
    <col min="12043" max="12043" width="11.125" style="131" customWidth="1"/>
    <col min="12044" max="12288" width="9" style="131"/>
    <col min="12289" max="12289" width="36.375" style="131" customWidth="1"/>
    <col min="12290" max="12290" width="11.5" style="131" customWidth="1"/>
    <col min="12291" max="12292" width="14.75" style="131" customWidth="1"/>
    <col min="12293" max="12293" width="1.375" style="131" customWidth="1"/>
    <col min="12294" max="12297" width="11.125" style="131" customWidth="1"/>
    <col min="12298" max="12298" width="10.875" style="131" customWidth="1"/>
    <col min="12299" max="12299" width="11.125" style="131" customWidth="1"/>
    <col min="12300" max="12544" width="9" style="131"/>
    <col min="12545" max="12545" width="36.375" style="131" customWidth="1"/>
    <col min="12546" max="12546" width="11.5" style="131" customWidth="1"/>
    <col min="12547" max="12548" width="14.75" style="131" customWidth="1"/>
    <col min="12549" max="12549" width="1.375" style="131" customWidth="1"/>
    <col min="12550" max="12553" width="11.125" style="131" customWidth="1"/>
    <col min="12554" max="12554" width="10.875" style="131" customWidth="1"/>
    <col min="12555" max="12555" width="11.125" style="131" customWidth="1"/>
    <col min="12556" max="12800" width="9" style="131"/>
    <col min="12801" max="12801" width="36.375" style="131" customWidth="1"/>
    <col min="12802" max="12802" width="11.5" style="131" customWidth="1"/>
    <col min="12803" max="12804" width="14.75" style="131" customWidth="1"/>
    <col min="12805" max="12805" width="1.375" style="131" customWidth="1"/>
    <col min="12806" max="12809" width="11.125" style="131" customWidth="1"/>
    <col min="12810" max="12810" width="10.875" style="131" customWidth="1"/>
    <col min="12811" max="12811" width="11.125" style="131" customWidth="1"/>
    <col min="12812" max="13056" width="9" style="131"/>
    <col min="13057" max="13057" width="36.375" style="131" customWidth="1"/>
    <col min="13058" max="13058" width="11.5" style="131" customWidth="1"/>
    <col min="13059" max="13060" width="14.75" style="131" customWidth="1"/>
    <col min="13061" max="13061" width="1.375" style="131" customWidth="1"/>
    <col min="13062" max="13065" width="11.125" style="131" customWidth="1"/>
    <col min="13066" max="13066" width="10.875" style="131" customWidth="1"/>
    <col min="13067" max="13067" width="11.125" style="131" customWidth="1"/>
    <col min="13068" max="13312" width="9" style="131"/>
    <col min="13313" max="13313" width="36.375" style="131" customWidth="1"/>
    <col min="13314" max="13314" width="11.5" style="131" customWidth="1"/>
    <col min="13315" max="13316" width="14.75" style="131" customWidth="1"/>
    <col min="13317" max="13317" width="1.375" style="131" customWidth="1"/>
    <col min="13318" max="13321" width="11.125" style="131" customWidth="1"/>
    <col min="13322" max="13322" width="10.875" style="131" customWidth="1"/>
    <col min="13323" max="13323" width="11.125" style="131" customWidth="1"/>
    <col min="13324" max="13568" width="9" style="131"/>
    <col min="13569" max="13569" width="36.375" style="131" customWidth="1"/>
    <col min="13570" max="13570" width="11.5" style="131" customWidth="1"/>
    <col min="13571" max="13572" width="14.75" style="131" customWidth="1"/>
    <col min="13573" max="13573" width="1.375" style="131" customWidth="1"/>
    <col min="13574" max="13577" width="11.125" style="131" customWidth="1"/>
    <col min="13578" max="13578" width="10.875" style="131" customWidth="1"/>
    <col min="13579" max="13579" width="11.125" style="131" customWidth="1"/>
    <col min="13580" max="13824" width="9" style="131"/>
    <col min="13825" max="13825" width="36.375" style="131" customWidth="1"/>
    <col min="13826" max="13826" width="11.5" style="131" customWidth="1"/>
    <col min="13827" max="13828" width="14.75" style="131" customWidth="1"/>
    <col min="13829" max="13829" width="1.375" style="131" customWidth="1"/>
    <col min="13830" max="13833" width="11.125" style="131" customWidth="1"/>
    <col min="13834" max="13834" width="10.875" style="131" customWidth="1"/>
    <col min="13835" max="13835" width="11.125" style="131" customWidth="1"/>
    <col min="13836" max="14080" width="9" style="131"/>
    <col min="14081" max="14081" width="36.375" style="131" customWidth="1"/>
    <col min="14082" max="14082" width="11.5" style="131" customWidth="1"/>
    <col min="14083" max="14084" width="14.75" style="131" customWidth="1"/>
    <col min="14085" max="14085" width="1.375" style="131" customWidth="1"/>
    <col min="14086" max="14089" width="11.125" style="131" customWidth="1"/>
    <col min="14090" max="14090" width="10.875" style="131" customWidth="1"/>
    <col min="14091" max="14091" width="11.125" style="131" customWidth="1"/>
    <col min="14092" max="14336" width="9" style="131"/>
    <col min="14337" max="14337" width="36.375" style="131" customWidth="1"/>
    <col min="14338" max="14338" width="11.5" style="131" customWidth="1"/>
    <col min="14339" max="14340" width="14.75" style="131" customWidth="1"/>
    <col min="14341" max="14341" width="1.375" style="131" customWidth="1"/>
    <col min="14342" max="14345" width="11.125" style="131" customWidth="1"/>
    <col min="14346" max="14346" width="10.875" style="131" customWidth="1"/>
    <col min="14347" max="14347" width="11.125" style="131" customWidth="1"/>
    <col min="14348" max="14592" width="9" style="131"/>
    <col min="14593" max="14593" width="36.375" style="131" customWidth="1"/>
    <col min="14594" max="14594" width="11.5" style="131" customWidth="1"/>
    <col min="14595" max="14596" width="14.75" style="131" customWidth="1"/>
    <col min="14597" max="14597" width="1.375" style="131" customWidth="1"/>
    <col min="14598" max="14601" width="11.125" style="131" customWidth="1"/>
    <col min="14602" max="14602" width="10.875" style="131" customWidth="1"/>
    <col min="14603" max="14603" width="11.125" style="131" customWidth="1"/>
    <col min="14604" max="14848" width="9" style="131"/>
    <col min="14849" max="14849" width="36.375" style="131" customWidth="1"/>
    <col min="14850" max="14850" width="11.5" style="131" customWidth="1"/>
    <col min="14851" max="14852" width="14.75" style="131" customWidth="1"/>
    <col min="14853" max="14853" width="1.375" style="131" customWidth="1"/>
    <col min="14854" max="14857" width="11.125" style="131" customWidth="1"/>
    <col min="14858" max="14858" width="10.875" style="131" customWidth="1"/>
    <col min="14859" max="14859" width="11.125" style="131" customWidth="1"/>
    <col min="14860" max="15104" width="9" style="131"/>
    <col min="15105" max="15105" width="36.375" style="131" customWidth="1"/>
    <col min="15106" max="15106" width="11.5" style="131" customWidth="1"/>
    <col min="15107" max="15108" width="14.75" style="131" customWidth="1"/>
    <col min="15109" max="15109" width="1.375" style="131" customWidth="1"/>
    <col min="15110" max="15113" width="11.125" style="131" customWidth="1"/>
    <col min="15114" max="15114" width="10.875" style="131" customWidth="1"/>
    <col min="15115" max="15115" width="11.125" style="131" customWidth="1"/>
    <col min="15116" max="15360" width="9" style="131"/>
    <col min="15361" max="15361" width="36.375" style="131" customWidth="1"/>
    <col min="15362" max="15362" width="11.5" style="131" customWidth="1"/>
    <col min="15363" max="15364" width="14.75" style="131" customWidth="1"/>
    <col min="15365" max="15365" width="1.375" style="131" customWidth="1"/>
    <col min="15366" max="15369" width="11.125" style="131" customWidth="1"/>
    <col min="15370" max="15370" width="10.875" style="131" customWidth="1"/>
    <col min="15371" max="15371" width="11.125" style="131" customWidth="1"/>
    <col min="15372" max="15616" width="9" style="131"/>
    <col min="15617" max="15617" width="36.375" style="131" customWidth="1"/>
    <col min="15618" max="15618" width="11.5" style="131" customWidth="1"/>
    <col min="15619" max="15620" width="14.75" style="131" customWidth="1"/>
    <col min="15621" max="15621" width="1.375" style="131" customWidth="1"/>
    <col min="15622" max="15625" width="11.125" style="131" customWidth="1"/>
    <col min="15626" max="15626" width="10.875" style="131" customWidth="1"/>
    <col min="15627" max="15627" width="11.125" style="131" customWidth="1"/>
    <col min="15628" max="15872" width="9" style="131"/>
    <col min="15873" max="15873" width="36.375" style="131" customWidth="1"/>
    <col min="15874" max="15874" width="11.5" style="131" customWidth="1"/>
    <col min="15875" max="15876" width="14.75" style="131" customWidth="1"/>
    <col min="15877" max="15877" width="1.375" style="131" customWidth="1"/>
    <col min="15878" max="15881" width="11.125" style="131" customWidth="1"/>
    <col min="15882" max="15882" width="10.875" style="131" customWidth="1"/>
    <col min="15883" max="15883" width="11.125" style="131" customWidth="1"/>
    <col min="15884" max="16128" width="9" style="131"/>
    <col min="16129" max="16129" width="36.375" style="131" customWidth="1"/>
    <col min="16130" max="16130" width="11.5" style="131" customWidth="1"/>
    <col min="16131" max="16132" width="14.75" style="131" customWidth="1"/>
    <col min="16133" max="16133" width="1.375" style="131" customWidth="1"/>
    <col min="16134" max="16137" width="11.125" style="131" customWidth="1"/>
    <col min="16138" max="16138" width="10.875" style="131" customWidth="1"/>
    <col min="16139" max="16139" width="11.125" style="131" customWidth="1"/>
    <col min="16140" max="16384" width="9" style="131"/>
  </cols>
  <sheetData>
    <row r="1" spans="1:13" ht="18.75" x14ac:dyDescent="0.25">
      <c r="A1" s="130"/>
    </row>
    <row r="2" spans="1:13" s="132" customFormat="1" ht="16.5" thickBot="1" x14ac:dyDescent="0.3">
      <c r="K2" s="131"/>
    </row>
    <row r="3" spans="1:13" s="132" customFormat="1" ht="15.75" x14ac:dyDescent="0.25">
      <c r="A3" s="133"/>
      <c r="B3" s="134"/>
      <c r="C3" s="134"/>
      <c r="D3" s="134"/>
      <c r="E3" s="134"/>
      <c r="F3" s="134"/>
      <c r="G3" s="135"/>
      <c r="H3" s="136"/>
      <c r="K3" s="131"/>
    </row>
    <row r="4" spans="1:13" s="132" customFormat="1" ht="15.75" x14ac:dyDescent="0.25">
      <c r="A4" s="137" t="s">
        <v>161</v>
      </c>
      <c r="B4" s="136"/>
      <c r="C4" s="136"/>
      <c r="D4" s="136"/>
      <c r="E4" s="136"/>
      <c r="F4" s="136"/>
      <c r="G4" s="138"/>
      <c r="H4" s="136"/>
      <c r="K4" s="131"/>
    </row>
    <row r="5" spans="1:13" s="132" customFormat="1" ht="15.75" x14ac:dyDescent="0.25">
      <c r="A5" s="139" t="s">
        <v>40</v>
      </c>
      <c r="B5" s="136"/>
      <c r="C5" s="136"/>
      <c r="D5" s="136"/>
      <c r="E5" s="136"/>
      <c r="F5" s="136"/>
      <c r="G5" s="138"/>
      <c r="H5" s="136"/>
      <c r="K5" s="131"/>
    </row>
    <row r="6" spans="1:13" s="132" customFormat="1" ht="16.5" thickBot="1" x14ac:dyDescent="0.3">
      <c r="A6" s="140"/>
      <c r="B6" s="141"/>
      <c r="C6" s="141"/>
      <c r="D6" s="141"/>
      <c r="E6" s="141"/>
      <c r="F6" s="141"/>
      <c r="G6" s="142"/>
      <c r="H6" s="136"/>
      <c r="K6" s="131"/>
    </row>
    <row r="7" spans="1:13" s="132" customFormat="1" ht="15.75" x14ac:dyDescent="0.25">
      <c r="K7" s="131"/>
    </row>
    <row r="8" spans="1:13" s="132" customFormat="1" ht="15.75" x14ac:dyDescent="0.25">
      <c r="A8" s="143"/>
      <c r="B8" s="143"/>
      <c r="C8" s="147" t="s">
        <v>162</v>
      </c>
      <c r="D8" s="144"/>
      <c r="E8" s="145"/>
      <c r="F8" s="146"/>
      <c r="H8" s="147" t="s">
        <v>163</v>
      </c>
      <c r="I8" s="148"/>
      <c r="K8" s="131"/>
    </row>
    <row r="9" spans="1:13" s="132" customFormat="1" ht="47.25" x14ac:dyDescent="0.25">
      <c r="A9" s="149" t="s">
        <v>41</v>
      </c>
      <c r="B9" s="150" t="s">
        <v>42</v>
      </c>
      <c r="C9" s="150" t="s">
        <v>43</v>
      </c>
      <c r="D9" s="150" t="s">
        <v>44</v>
      </c>
      <c r="E9" s="151"/>
      <c r="F9" s="150" t="s">
        <v>45</v>
      </c>
      <c r="G9" s="150" t="s">
        <v>46</v>
      </c>
      <c r="H9" s="150" t="s">
        <v>47</v>
      </c>
      <c r="I9" s="150" t="s">
        <v>25</v>
      </c>
      <c r="K9" s="131"/>
    </row>
    <row r="10" spans="1:13" s="132" customFormat="1" ht="15.75" x14ac:dyDescent="0.25">
      <c r="A10" s="152" t="s">
        <v>48</v>
      </c>
      <c r="B10" s="153">
        <v>2.6891062727403083</v>
      </c>
      <c r="C10" s="361">
        <v>62.284709238535228</v>
      </c>
      <c r="D10" s="361">
        <v>82.567016347785753</v>
      </c>
      <c r="E10" s="151"/>
      <c r="F10" s="153">
        <v>1</v>
      </c>
      <c r="G10" s="153">
        <v>1.3156971993682502</v>
      </c>
      <c r="H10" s="362">
        <v>0.60204252504718636</v>
      </c>
      <c r="I10" s="363">
        <f>SUM(F10:H10)</f>
        <v>2.9177397244154362</v>
      </c>
      <c r="M10" s="154"/>
    </row>
    <row r="11" spans="1:13" s="132" customFormat="1" ht="6.75" customHeight="1" x14ac:dyDescent="0.25">
      <c r="A11" s="155"/>
      <c r="B11" s="156"/>
      <c r="C11" s="157"/>
      <c r="D11" s="157"/>
      <c r="M11" s="154"/>
    </row>
    <row r="13" spans="1:13" x14ac:dyDescent="0.25">
      <c r="A13" s="158" t="s">
        <v>49</v>
      </c>
      <c r="B13" s="159"/>
      <c r="C13" s="159"/>
      <c r="D13" s="159"/>
    </row>
    <row r="14" spans="1:13" ht="15.75" hidden="1" thickBot="1" x14ac:dyDescent="0.3">
      <c r="A14" s="131" t="s">
        <v>50</v>
      </c>
      <c r="B14" s="160">
        <v>2.1588394213178135</v>
      </c>
      <c r="D14" s="131" t="s">
        <v>51</v>
      </c>
      <c r="F14" s="161">
        <v>1</v>
      </c>
      <c r="G14" s="162">
        <f>+G10/SUM($G$10:$H$10)</f>
        <v>0.68606661405488678</v>
      </c>
      <c r="H14" s="162">
        <f>+H10/SUM($G$10:$H$10)</f>
        <v>0.31393338594511322</v>
      </c>
      <c r="I14" s="163"/>
    </row>
    <row r="15" spans="1:13" ht="15.75" hidden="1" thickBot="1" x14ac:dyDescent="0.3">
      <c r="F15" s="164">
        <v>1</v>
      </c>
      <c r="G15" s="165">
        <f>($K$21-1)*G14</f>
        <v>1.3156971993682502</v>
      </c>
      <c r="H15" s="165">
        <f>($K$21-1)*H14</f>
        <v>0.60204252504718636</v>
      </c>
      <c r="I15" s="166">
        <f>SUM(F15:H15)</f>
        <v>2.9177397244154362</v>
      </c>
      <c r="L15" s="131">
        <f>+I15/I10</f>
        <v>1</v>
      </c>
    </row>
    <row r="16" spans="1:13" ht="18.75" hidden="1" x14ac:dyDescent="0.3">
      <c r="A16" s="167" t="s">
        <v>52</v>
      </c>
    </row>
    <row r="17" spans="1:12" hidden="1" x14ac:dyDescent="0.25">
      <c r="A17" s="168"/>
      <c r="B17" s="169" t="s">
        <v>53</v>
      </c>
      <c r="C17" s="169" t="s">
        <v>54</v>
      </c>
      <c r="D17" s="169" t="s">
        <v>55</v>
      </c>
      <c r="E17" s="169" t="s">
        <v>56</v>
      </c>
      <c r="F17" s="169" t="s">
        <v>57</v>
      </c>
      <c r="G17" s="169" t="s">
        <v>58</v>
      </c>
      <c r="H17" s="169" t="s">
        <v>59</v>
      </c>
      <c r="I17" s="169" t="s">
        <v>60</v>
      </c>
      <c r="J17" s="169" t="s">
        <v>61</v>
      </c>
      <c r="K17" s="169" t="s">
        <v>62</v>
      </c>
    </row>
    <row r="18" spans="1:12" hidden="1" x14ac:dyDescent="0.25">
      <c r="A18" s="168"/>
      <c r="B18" s="168"/>
      <c r="C18" s="168"/>
      <c r="D18" s="168"/>
      <c r="E18" s="168"/>
      <c r="F18" s="168"/>
      <c r="G18" s="168"/>
      <c r="H18" s="168"/>
      <c r="I18" s="168"/>
      <c r="J18" s="168"/>
      <c r="K18" s="168"/>
    </row>
    <row r="19" spans="1:12" hidden="1" x14ac:dyDescent="0.25">
      <c r="A19" s="170" t="s">
        <v>63</v>
      </c>
      <c r="B19" s="168"/>
      <c r="C19" s="171">
        <v>0.99199999999999999</v>
      </c>
      <c r="D19" s="171">
        <v>1.0640000000000001</v>
      </c>
      <c r="E19" s="171">
        <v>1.036</v>
      </c>
      <c r="F19" s="171">
        <v>1.016</v>
      </c>
      <c r="G19" s="171">
        <v>1.018</v>
      </c>
      <c r="H19" s="171">
        <v>1</v>
      </c>
      <c r="I19" s="171">
        <v>1.0089999999999999</v>
      </c>
      <c r="J19" s="171">
        <v>1.032</v>
      </c>
      <c r="K19" s="171">
        <v>1.042</v>
      </c>
    </row>
    <row r="20" spans="1:12" ht="15.75" hidden="1" thickBot="1" x14ac:dyDescent="0.3"/>
    <row r="21" spans="1:12" ht="15.75" hidden="1" thickBot="1" x14ac:dyDescent="0.3">
      <c r="H21" s="166">
        <f>+B10</f>
        <v>2.6891062727403083</v>
      </c>
      <c r="I21" s="159">
        <f>+H21*I19</f>
        <v>2.7133082291949706</v>
      </c>
      <c r="J21" s="159">
        <f>+J19*I21</f>
        <v>2.8001340925292095</v>
      </c>
      <c r="K21" s="159">
        <f>+K19*J21</f>
        <v>2.9177397244154366</v>
      </c>
      <c r="L21" s="131">
        <f>+K21/H21</f>
        <v>1.0850220959999999</v>
      </c>
    </row>
    <row r="22" spans="1:12" hidden="1" x14ac:dyDescent="0.25">
      <c r="K22" s="172"/>
    </row>
    <row r="23" spans="1:12" hidden="1" x14ac:dyDescent="0.25">
      <c r="I23" s="173">
        <f>+I19-1</f>
        <v>8.999999999999897E-3</v>
      </c>
      <c r="J23" s="173">
        <f>+J19-1</f>
        <v>3.2000000000000028E-2</v>
      </c>
      <c r="K23" s="173">
        <f>+K19-1</f>
        <v>4.2000000000000037E-2</v>
      </c>
    </row>
    <row r="24" spans="1:12" hidden="1" x14ac:dyDescent="0.25">
      <c r="I24" s="173">
        <f>1+I23+H24</f>
        <v>1.0089999999999999</v>
      </c>
      <c r="J24" s="173">
        <f>1+J23+I24</f>
        <v>2.0409999999999999</v>
      </c>
      <c r="K24" s="173">
        <f>1+K23+J24</f>
        <v>3.0830000000000002</v>
      </c>
    </row>
    <row r="25" spans="1:12" hidden="1" x14ac:dyDescent="0.25"/>
  </sheetData>
  <pageMargins left="0.70866141732283472" right="0.70866141732283472" top="0.74803149606299213" bottom="0.74803149606299213" header="0.31496062992125984" footer="0.31496062992125984"/>
  <pageSetup paperSize="9" scale="92" orientation="landscape" r:id="rId1"/>
  <headerFooter>
    <oddFooter>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88"/>
  <sheetViews>
    <sheetView view="pageBreakPreview" zoomScale="85" zoomScaleNormal="100" zoomScaleSheetLayoutView="85" workbookViewId="0">
      <selection activeCell="G13" sqref="G13"/>
    </sheetView>
  </sheetViews>
  <sheetFormatPr defaultRowHeight="15" x14ac:dyDescent="0.25"/>
  <cols>
    <col min="1" max="1" width="28.5" style="175" customWidth="1"/>
    <col min="2" max="2" width="39.875" style="175" customWidth="1"/>
    <col min="3" max="3" width="13.25" style="175" customWidth="1"/>
    <col min="4" max="10" width="12.625" style="175" customWidth="1"/>
    <col min="11" max="11" width="9.25" style="175" customWidth="1"/>
    <col min="12" max="256" width="9" style="175"/>
    <col min="257" max="257" width="28.5" style="175" customWidth="1"/>
    <col min="258" max="258" width="39.875" style="175" customWidth="1"/>
    <col min="259" max="259" width="13.25" style="175" customWidth="1"/>
    <col min="260" max="266" width="12.625" style="175" customWidth="1"/>
    <col min="267" max="267" width="9.25" style="175" customWidth="1"/>
    <col min="268" max="512" width="9" style="175"/>
    <col min="513" max="513" width="28.5" style="175" customWidth="1"/>
    <col min="514" max="514" width="39.875" style="175" customWidth="1"/>
    <col min="515" max="515" width="13.25" style="175" customWidth="1"/>
    <col min="516" max="522" width="12.625" style="175" customWidth="1"/>
    <col min="523" max="523" width="9.25" style="175" customWidth="1"/>
    <col min="524" max="768" width="9" style="175"/>
    <col min="769" max="769" width="28.5" style="175" customWidth="1"/>
    <col min="770" max="770" width="39.875" style="175" customWidth="1"/>
    <col min="771" max="771" width="13.25" style="175" customWidth="1"/>
    <col min="772" max="778" width="12.625" style="175" customWidth="1"/>
    <col min="779" max="779" width="9.25" style="175" customWidth="1"/>
    <col min="780" max="1024" width="9" style="175"/>
    <col min="1025" max="1025" width="28.5" style="175" customWidth="1"/>
    <col min="1026" max="1026" width="39.875" style="175" customWidth="1"/>
    <col min="1027" max="1027" width="13.25" style="175" customWidth="1"/>
    <col min="1028" max="1034" width="12.625" style="175" customWidth="1"/>
    <col min="1035" max="1035" width="9.25" style="175" customWidth="1"/>
    <col min="1036" max="1280" width="9" style="175"/>
    <col min="1281" max="1281" width="28.5" style="175" customWidth="1"/>
    <col min="1282" max="1282" width="39.875" style="175" customWidth="1"/>
    <col min="1283" max="1283" width="13.25" style="175" customWidth="1"/>
    <col min="1284" max="1290" width="12.625" style="175" customWidth="1"/>
    <col min="1291" max="1291" width="9.25" style="175" customWidth="1"/>
    <col min="1292" max="1536" width="9" style="175"/>
    <col min="1537" max="1537" width="28.5" style="175" customWidth="1"/>
    <col min="1538" max="1538" width="39.875" style="175" customWidth="1"/>
    <col min="1539" max="1539" width="13.25" style="175" customWidth="1"/>
    <col min="1540" max="1546" width="12.625" style="175" customWidth="1"/>
    <col min="1547" max="1547" width="9.25" style="175" customWidth="1"/>
    <col min="1548" max="1792" width="9" style="175"/>
    <col min="1793" max="1793" width="28.5" style="175" customWidth="1"/>
    <col min="1794" max="1794" width="39.875" style="175" customWidth="1"/>
    <col min="1795" max="1795" width="13.25" style="175" customWidth="1"/>
    <col min="1796" max="1802" width="12.625" style="175" customWidth="1"/>
    <col min="1803" max="1803" width="9.25" style="175" customWidth="1"/>
    <col min="1804" max="2048" width="9" style="175"/>
    <col min="2049" max="2049" width="28.5" style="175" customWidth="1"/>
    <col min="2050" max="2050" width="39.875" style="175" customWidth="1"/>
    <col min="2051" max="2051" width="13.25" style="175" customWidth="1"/>
    <col min="2052" max="2058" width="12.625" style="175" customWidth="1"/>
    <col min="2059" max="2059" width="9.25" style="175" customWidth="1"/>
    <col min="2060" max="2304" width="9" style="175"/>
    <col min="2305" max="2305" width="28.5" style="175" customWidth="1"/>
    <col min="2306" max="2306" width="39.875" style="175" customWidth="1"/>
    <col min="2307" max="2307" width="13.25" style="175" customWidth="1"/>
    <col min="2308" max="2314" width="12.625" style="175" customWidth="1"/>
    <col min="2315" max="2315" width="9.25" style="175" customWidth="1"/>
    <col min="2316" max="2560" width="9" style="175"/>
    <col min="2561" max="2561" width="28.5" style="175" customWidth="1"/>
    <col min="2562" max="2562" width="39.875" style="175" customWidth="1"/>
    <col min="2563" max="2563" width="13.25" style="175" customWidth="1"/>
    <col min="2564" max="2570" width="12.625" style="175" customWidth="1"/>
    <col min="2571" max="2571" width="9.25" style="175" customWidth="1"/>
    <col min="2572" max="2816" width="9" style="175"/>
    <col min="2817" max="2817" width="28.5" style="175" customWidth="1"/>
    <col min="2818" max="2818" width="39.875" style="175" customWidth="1"/>
    <col min="2819" max="2819" width="13.25" style="175" customWidth="1"/>
    <col min="2820" max="2826" width="12.625" style="175" customWidth="1"/>
    <col min="2827" max="2827" width="9.25" style="175" customWidth="1"/>
    <col min="2828" max="3072" width="9" style="175"/>
    <col min="3073" max="3073" width="28.5" style="175" customWidth="1"/>
    <col min="3074" max="3074" width="39.875" style="175" customWidth="1"/>
    <col min="3075" max="3075" width="13.25" style="175" customWidth="1"/>
    <col min="3076" max="3082" width="12.625" style="175" customWidth="1"/>
    <col min="3083" max="3083" width="9.25" style="175" customWidth="1"/>
    <col min="3084" max="3328" width="9" style="175"/>
    <col min="3329" max="3329" width="28.5" style="175" customWidth="1"/>
    <col min="3330" max="3330" width="39.875" style="175" customWidth="1"/>
    <col min="3331" max="3331" width="13.25" style="175" customWidth="1"/>
    <col min="3332" max="3338" width="12.625" style="175" customWidth="1"/>
    <col min="3339" max="3339" width="9.25" style="175" customWidth="1"/>
    <col min="3340" max="3584" width="9" style="175"/>
    <col min="3585" max="3585" width="28.5" style="175" customWidth="1"/>
    <col min="3586" max="3586" width="39.875" style="175" customWidth="1"/>
    <col min="3587" max="3587" width="13.25" style="175" customWidth="1"/>
    <col min="3588" max="3594" width="12.625" style="175" customWidth="1"/>
    <col min="3595" max="3595" width="9.25" style="175" customWidth="1"/>
    <col min="3596" max="3840" width="9" style="175"/>
    <col min="3841" max="3841" width="28.5" style="175" customWidth="1"/>
    <col min="3842" max="3842" width="39.875" style="175" customWidth="1"/>
    <col min="3843" max="3843" width="13.25" style="175" customWidth="1"/>
    <col min="3844" max="3850" width="12.625" style="175" customWidth="1"/>
    <col min="3851" max="3851" width="9.25" style="175" customWidth="1"/>
    <col min="3852" max="4096" width="9" style="175"/>
    <col min="4097" max="4097" width="28.5" style="175" customWidth="1"/>
    <col min="4098" max="4098" width="39.875" style="175" customWidth="1"/>
    <col min="4099" max="4099" width="13.25" style="175" customWidth="1"/>
    <col min="4100" max="4106" width="12.625" style="175" customWidth="1"/>
    <col min="4107" max="4107" width="9.25" style="175" customWidth="1"/>
    <col min="4108" max="4352" width="9" style="175"/>
    <col min="4353" max="4353" width="28.5" style="175" customWidth="1"/>
    <col min="4354" max="4354" width="39.875" style="175" customWidth="1"/>
    <col min="4355" max="4355" width="13.25" style="175" customWidth="1"/>
    <col min="4356" max="4362" width="12.625" style="175" customWidth="1"/>
    <col min="4363" max="4363" width="9.25" style="175" customWidth="1"/>
    <col min="4364" max="4608" width="9" style="175"/>
    <col min="4609" max="4609" width="28.5" style="175" customWidth="1"/>
    <col min="4610" max="4610" width="39.875" style="175" customWidth="1"/>
    <col min="4611" max="4611" width="13.25" style="175" customWidth="1"/>
    <col min="4612" max="4618" width="12.625" style="175" customWidth="1"/>
    <col min="4619" max="4619" width="9.25" style="175" customWidth="1"/>
    <col min="4620" max="4864" width="9" style="175"/>
    <col min="4865" max="4865" width="28.5" style="175" customWidth="1"/>
    <col min="4866" max="4866" width="39.875" style="175" customWidth="1"/>
    <col min="4867" max="4867" width="13.25" style="175" customWidth="1"/>
    <col min="4868" max="4874" width="12.625" style="175" customWidth="1"/>
    <col min="4875" max="4875" width="9.25" style="175" customWidth="1"/>
    <col min="4876" max="5120" width="9" style="175"/>
    <col min="5121" max="5121" width="28.5" style="175" customWidth="1"/>
    <col min="5122" max="5122" width="39.875" style="175" customWidth="1"/>
    <col min="5123" max="5123" width="13.25" style="175" customWidth="1"/>
    <col min="5124" max="5130" width="12.625" style="175" customWidth="1"/>
    <col min="5131" max="5131" width="9.25" style="175" customWidth="1"/>
    <col min="5132" max="5376" width="9" style="175"/>
    <col min="5377" max="5377" width="28.5" style="175" customWidth="1"/>
    <col min="5378" max="5378" width="39.875" style="175" customWidth="1"/>
    <col min="5379" max="5379" width="13.25" style="175" customWidth="1"/>
    <col min="5380" max="5386" width="12.625" style="175" customWidth="1"/>
    <col min="5387" max="5387" width="9.25" style="175" customWidth="1"/>
    <col min="5388" max="5632" width="9" style="175"/>
    <col min="5633" max="5633" width="28.5" style="175" customWidth="1"/>
    <col min="5634" max="5634" width="39.875" style="175" customWidth="1"/>
    <col min="5635" max="5635" width="13.25" style="175" customWidth="1"/>
    <col min="5636" max="5642" width="12.625" style="175" customWidth="1"/>
    <col min="5643" max="5643" width="9.25" style="175" customWidth="1"/>
    <col min="5644" max="5888" width="9" style="175"/>
    <col min="5889" max="5889" width="28.5" style="175" customWidth="1"/>
    <col min="5890" max="5890" width="39.875" style="175" customWidth="1"/>
    <col min="5891" max="5891" width="13.25" style="175" customWidth="1"/>
    <col min="5892" max="5898" width="12.625" style="175" customWidth="1"/>
    <col min="5899" max="5899" width="9.25" style="175" customWidth="1"/>
    <col min="5900" max="6144" width="9" style="175"/>
    <col min="6145" max="6145" width="28.5" style="175" customWidth="1"/>
    <col min="6146" max="6146" width="39.875" style="175" customWidth="1"/>
    <col min="6147" max="6147" width="13.25" style="175" customWidth="1"/>
    <col min="6148" max="6154" width="12.625" style="175" customWidth="1"/>
    <col min="6155" max="6155" width="9.25" style="175" customWidth="1"/>
    <col min="6156" max="6400" width="9" style="175"/>
    <col min="6401" max="6401" width="28.5" style="175" customWidth="1"/>
    <col min="6402" max="6402" width="39.875" style="175" customWidth="1"/>
    <col min="6403" max="6403" width="13.25" style="175" customWidth="1"/>
    <col min="6404" max="6410" width="12.625" style="175" customWidth="1"/>
    <col min="6411" max="6411" width="9.25" style="175" customWidth="1"/>
    <col min="6412" max="6656" width="9" style="175"/>
    <col min="6657" max="6657" width="28.5" style="175" customWidth="1"/>
    <col min="6658" max="6658" width="39.875" style="175" customWidth="1"/>
    <col min="6659" max="6659" width="13.25" style="175" customWidth="1"/>
    <col min="6660" max="6666" width="12.625" style="175" customWidth="1"/>
    <col min="6667" max="6667" width="9.25" style="175" customWidth="1"/>
    <col min="6668" max="6912" width="9" style="175"/>
    <col min="6913" max="6913" width="28.5" style="175" customWidth="1"/>
    <col min="6914" max="6914" width="39.875" style="175" customWidth="1"/>
    <col min="6915" max="6915" width="13.25" style="175" customWidth="1"/>
    <col min="6916" max="6922" width="12.625" style="175" customWidth="1"/>
    <col min="6923" max="6923" width="9.25" style="175" customWidth="1"/>
    <col min="6924" max="7168" width="9" style="175"/>
    <col min="7169" max="7169" width="28.5" style="175" customWidth="1"/>
    <col min="7170" max="7170" width="39.875" style="175" customWidth="1"/>
    <col min="7171" max="7171" width="13.25" style="175" customWidth="1"/>
    <col min="7172" max="7178" width="12.625" style="175" customWidth="1"/>
    <col min="7179" max="7179" width="9.25" style="175" customWidth="1"/>
    <col min="7180" max="7424" width="9" style="175"/>
    <col min="7425" max="7425" width="28.5" style="175" customWidth="1"/>
    <col min="7426" max="7426" width="39.875" style="175" customWidth="1"/>
    <col min="7427" max="7427" width="13.25" style="175" customWidth="1"/>
    <col min="7428" max="7434" width="12.625" style="175" customWidth="1"/>
    <col min="7435" max="7435" width="9.25" style="175" customWidth="1"/>
    <col min="7436" max="7680" width="9" style="175"/>
    <col min="7681" max="7681" width="28.5" style="175" customWidth="1"/>
    <col min="7682" max="7682" width="39.875" style="175" customWidth="1"/>
    <col min="7683" max="7683" width="13.25" style="175" customWidth="1"/>
    <col min="7684" max="7690" width="12.625" style="175" customWidth="1"/>
    <col min="7691" max="7691" width="9.25" style="175" customWidth="1"/>
    <col min="7692" max="7936" width="9" style="175"/>
    <col min="7937" max="7937" width="28.5" style="175" customWidth="1"/>
    <col min="7938" max="7938" width="39.875" style="175" customWidth="1"/>
    <col min="7939" max="7939" width="13.25" style="175" customWidth="1"/>
    <col min="7940" max="7946" width="12.625" style="175" customWidth="1"/>
    <col min="7947" max="7947" width="9.25" style="175" customWidth="1"/>
    <col min="7948" max="8192" width="9" style="175"/>
    <col min="8193" max="8193" width="28.5" style="175" customWidth="1"/>
    <col min="8194" max="8194" width="39.875" style="175" customWidth="1"/>
    <col min="8195" max="8195" width="13.25" style="175" customWidth="1"/>
    <col min="8196" max="8202" width="12.625" style="175" customWidth="1"/>
    <col min="8203" max="8203" width="9.25" style="175" customWidth="1"/>
    <col min="8204" max="8448" width="9" style="175"/>
    <col min="8449" max="8449" width="28.5" style="175" customWidth="1"/>
    <col min="8450" max="8450" width="39.875" style="175" customWidth="1"/>
    <col min="8451" max="8451" width="13.25" style="175" customWidth="1"/>
    <col min="8452" max="8458" width="12.625" style="175" customWidth="1"/>
    <col min="8459" max="8459" width="9.25" style="175" customWidth="1"/>
    <col min="8460" max="8704" width="9" style="175"/>
    <col min="8705" max="8705" width="28.5" style="175" customWidth="1"/>
    <col min="8706" max="8706" width="39.875" style="175" customWidth="1"/>
    <col min="8707" max="8707" width="13.25" style="175" customWidth="1"/>
    <col min="8708" max="8714" width="12.625" style="175" customWidth="1"/>
    <col min="8715" max="8715" width="9.25" style="175" customWidth="1"/>
    <col min="8716" max="8960" width="9" style="175"/>
    <col min="8961" max="8961" width="28.5" style="175" customWidth="1"/>
    <col min="8962" max="8962" width="39.875" style="175" customWidth="1"/>
    <col min="8963" max="8963" width="13.25" style="175" customWidth="1"/>
    <col min="8964" max="8970" width="12.625" style="175" customWidth="1"/>
    <col min="8971" max="8971" width="9.25" style="175" customWidth="1"/>
    <col min="8972" max="9216" width="9" style="175"/>
    <col min="9217" max="9217" width="28.5" style="175" customWidth="1"/>
    <col min="9218" max="9218" width="39.875" style="175" customWidth="1"/>
    <col min="9219" max="9219" width="13.25" style="175" customWidth="1"/>
    <col min="9220" max="9226" width="12.625" style="175" customWidth="1"/>
    <col min="9227" max="9227" width="9.25" style="175" customWidth="1"/>
    <col min="9228" max="9472" width="9" style="175"/>
    <col min="9473" max="9473" width="28.5" style="175" customWidth="1"/>
    <col min="9474" max="9474" width="39.875" style="175" customWidth="1"/>
    <col min="9475" max="9475" width="13.25" style="175" customWidth="1"/>
    <col min="9476" max="9482" width="12.625" style="175" customWidth="1"/>
    <col min="9483" max="9483" width="9.25" style="175" customWidth="1"/>
    <col min="9484" max="9728" width="9" style="175"/>
    <col min="9729" max="9729" width="28.5" style="175" customWidth="1"/>
    <col min="9730" max="9730" width="39.875" style="175" customWidth="1"/>
    <col min="9731" max="9731" width="13.25" style="175" customWidth="1"/>
    <col min="9732" max="9738" width="12.625" style="175" customWidth="1"/>
    <col min="9739" max="9739" width="9.25" style="175" customWidth="1"/>
    <col min="9740" max="9984" width="9" style="175"/>
    <col min="9985" max="9985" width="28.5" style="175" customWidth="1"/>
    <col min="9986" max="9986" width="39.875" style="175" customWidth="1"/>
    <col min="9987" max="9987" width="13.25" style="175" customWidth="1"/>
    <col min="9988" max="9994" width="12.625" style="175" customWidth="1"/>
    <col min="9995" max="9995" width="9.25" style="175" customWidth="1"/>
    <col min="9996" max="10240" width="9" style="175"/>
    <col min="10241" max="10241" width="28.5" style="175" customWidth="1"/>
    <col min="10242" max="10242" width="39.875" style="175" customWidth="1"/>
    <col min="10243" max="10243" width="13.25" style="175" customWidth="1"/>
    <col min="10244" max="10250" width="12.625" style="175" customWidth="1"/>
    <col min="10251" max="10251" width="9.25" style="175" customWidth="1"/>
    <col min="10252" max="10496" width="9" style="175"/>
    <col min="10497" max="10497" width="28.5" style="175" customWidth="1"/>
    <col min="10498" max="10498" width="39.875" style="175" customWidth="1"/>
    <col min="10499" max="10499" width="13.25" style="175" customWidth="1"/>
    <col min="10500" max="10506" width="12.625" style="175" customWidth="1"/>
    <col min="10507" max="10507" width="9.25" style="175" customWidth="1"/>
    <col min="10508" max="10752" width="9" style="175"/>
    <col min="10753" max="10753" width="28.5" style="175" customWidth="1"/>
    <col min="10754" max="10754" width="39.875" style="175" customWidth="1"/>
    <col min="10755" max="10755" width="13.25" style="175" customWidth="1"/>
    <col min="10756" max="10762" width="12.625" style="175" customWidth="1"/>
    <col min="10763" max="10763" width="9.25" style="175" customWidth="1"/>
    <col min="10764" max="11008" width="9" style="175"/>
    <col min="11009" max="11009" width="28.5" style="175" customWidth="1"/>
    <col min="11010" max="11010" width="39.875" style="175" customWidth="1"/>
    <col min="11011" max="11011" width="13.25" style="175" customWidth="1"/>
    <col min="11012" max="11018" width="12.625" style="175" customWidth="1"/>
    <col min="11019" max="11019" width="9.25" style="175" customWidth="1"/>
    <col min="11020" max="11264" width="9" style="175"/>
    <col min="11265" max="11265" width="28.5" style="175" customWidth="1"/>
    <col min="11266" max="11266" width="39.875" style="175" customWidth="1"/>
    <col min="11267" max="11267" width="13.25" style="175" customWidth="1"/>
    <col min="11268" max="11274" width="12.625" style="175" customWidth="1"/>
    <col min="11275" max="11275" width="9.25" style="175" customWidth="1"/>
    <col min="11276" max="11520" width="9" style="175"/>
    <col min="11521" max="11521" width="28.5" style="175" customWidth="1"/>
    <col min="11522" max="11522" width="39.875" style="175" customWidth="1"/>
    <col min="11523" max="11523" width="13.25" style="175" customWidth="1"/>
    <col min="11524" max="11530" width="12.625" style="175" customWidth="1"/>
    <col min="11531" max="11531" width="9.25" style="175" customWidth="1"/>
    <col min="11532" max="11776" width="9" style="175"/>
    <col min="11777" max="11777" width="28.5" style="175" customWidth="1"/>
    <col min="11778" max="11778" width="39.875" style="175" customWidth="1"/>
    <col min="11779" max="11779" width="13.25" style="175" customWidth="1"/>
    <col min="11780" max="11786" width="12.625" style="175" customWidth="1"/>
    <col min="11787" max="11787" width="9.25" style="175" customWidth="1"/>
    <col min="11788" max="12032" width="9" style="175"/>
    <col min="12033" max="12033" width="28.5" style="175" customWidth="1"/>
    <col min="12034" max="12034" width="39.875" style="175" customWidth="1"/>
    <col min="12035" max="12035" width="13.25" style="175" customWidth="1"/>
    <col min="12036" max="12042" width="12.625" style="175" customWidth="1"/>
    <col min="12043" max="12043" width="9.25" style="175" customWidth="1"/>
    <col min="12044" max="12288" width="9" style="175"/>
    <col min="12289" max="12289" width="28.5" style="175" customWidth="1"/>
    <col min="12290" max="12290" width="39.875" style="175" customWidth="1"/>
    <col min="12291" max="12291" width="13.25" style="175" customWidth="1"/>
    <col min="12292" max="12298" width="12.625" style="175" customWidth="1"/>
    <col min="12299" max="12299" width="9.25" style="175" customWidth="1"/>
    <col min="12300" max="12544" width="9" style="175"/>
    <col min="12545" max="12545" width="28.5" style="175" customWidth="1"/>
    <col min="12546" max="12546" width="39.875" style="175" customWidth="1"/>
    <col min="12547" max="12547" width="13.25" style="175" customWidth="1"/>
    <col min="12548" max="12554" width="12.625" style="175" customWidth="1"/>
    <col min="12555" max="12555" width="9.25" style="175" customWidth="1"/>
    <col min="12556" max="12800" width="9" style="175"/>
    <col min="12801" max="12801" width="28.5" style="175" customWidth="1"/>
    <col min="12802" max="12802" width="39.875" style="175" customWidth="1"/>
    <col min="12803" max="12803" width="13.25" style="175" customWidth="1"/>
    <col min="12804" max="12810" width="12.625" style="175" customWidth="1"/>
    <col min="12811" max="12811" width="9.25" style="175" customWidth="1"/>
    <col min="12812" max="13056" width="9" style="175"/>
    <col min="13057" max="13057" width="28.5" style="175" customWidth="1"/>
    <col min="13058" max="13058" width="39.875" style="175" customWidth="1"/>
    <col min="13059" max="13059" width="13.25" style="175" customWidth="1"/>
    <col min="13060" max="13066" width="12.625" style="175" customWidth="1"/>
    <col min="13067" max="13067" width="9.25" style="175" customWidth="1"/>
    <col min="13068" max="13312" width="9" style="175"/>
    <col min="13313" max="13313" width="28.5" style="175" customWidth="1"/>
    <col min="13314" max="13314" width="39.875" style="175" customWidth="1"/>
    <col min="13315" max="13315" width="13.25" style="175" customWidth="1"/>
    <col min="13316" max="13322" width="12.625" style="175" customWidth="1"/>
    <col min="13323" max="13323" width="9.25" style="175" customWidth="1"/>
    <col min="13324" max="13568" width="9" style="175"/>
    <col min="13569" max="13569" width="28.5" style="175" customWidth="1"/>
    <col min="13570" max="13570" width="39.875" style="175" customWidth="1"/>
    <col min="13571" max="13571" width="13.25" style="175" customWidth="1"/>
    <col min="13572" max="13578" width="12.625" style="175" customWidth="1"/>
    <col min="13579" max="13579" width="9.25" style="175" customWidth="1"/>
    <col min="13580" max="13824" width="9" style="175"/>
    <col min="13825" max="13825" width="28.5" style="175" customWidth="1"/>
    <col min="13826" max="13826" width="39.875" style="175" customWidth="1"/>
    <col min="13827" max="13827" width="13.25" style="175" customWidth="1"/>
    <col min="13828" max="13834" width="12.625" style="175" customWidth="1"/>
    <col min="13835" max="13835" width="9.25" style="175" customWidth="1"/>
    <col min="13836" max="14080" width="9" style="175"/>
    <col min="14081" max="14081" width="28.5" style="175" customWidth="1"/>
    <col min="14082" max="14082" width="39.875" style="175" customWidth="1"/>
    <col min="14083" max="14083" width="13.25" style="175" customWidth="1"/>
    <col min="14084" max="14090" width="12.625" style="175" customWidth="1"/>
    <col min="14091" max="14091" width="9.25" style="175" customWidth="1"/>
    <col min="14092" max="14336" width="9" style="175"/>
    <col min="14337" max="14337" width="28.5" style="175" customWidth="1"/>
    <col min="14338" max="14338" width="39.875" style="175" customWidth="1"/>
    <col min="14339" max="14339" width="13.25" style="175" customWidth="1"/>
    <col min="14340" max="14346" width="12.625" style="175" customWidth="1"/>
    <col min="14347" max="14347" width="9.25" style="175" customWidth="1"/>
    <col min="14348" max="14592" width="9" style="175"/>
    <col min="14593" max="14593" width="28.5" style="175" customWidth="1"/>
    <col min="14594" max="14594" width="39.875" style="175" customWidth="1"/>
    <col min="14595" max="14595" width="13.25" style="175" customWidth="1"/>
    <col min="14596" max="14602" width="12.625" style="175" customWidth="1"/>
    <col min="14603" max="14603" width="9.25" style="175" customWidth="1"/>
    <col min="14604" max="14848" width="9" style="175"/>
    <col min="14849" max="14849" width="28.5" style="175" customWidth="1"/>
    <col min="14850" max="14850" width="39.875" style="175" customWidth="1"/>
    <col min="14851" max="14851" width="13.25" style="175" customWidth="1"/>
    <col min="14852" max="14858" width="12.625" style="175" customWidth="1"/>
    <col min="14859" max="14859" width="9.25" style="175" customWidth="1"/>
    <col min="14860" max="15104" width="9" style="175"/>
    <col min="15105" max="15105" width="28.5" style="175" customWidth="1"/>
    <col min="15106" max="15106" width="39.875" style="175" customWidth="1"/>
    <col min="15107" max="15107" width="13.25" style="175" customWidth="1"/>
    <col min="15108" max="15114" width="12.625" style="175" customWidth="1"/>
    <col min="15115" max="15115" width="9.25" style="175" customWidth="1"/>
    <col min="15116" max="15360" width="9" style="175"/>
    <col min="15361" max="15361" width="28.5" style="175" customWidth="1"/>
    <col min="15362" max="15362" width="39.875" style="175" customWidth="1"/>
    <col min="15363" max="15363" width="13.25" style="175" customWidth="1"/>
    <col min="15364" max="15370" width="12.625" style="175" customWidth="1"/>
    <col min="15371" max="15371" width="9.25" style="175" customWidth="1"/>
    <col min="15372" max="15616" width="9" style="175"/>
    <col min="15617" max="15617" width="28.5" style="175" customWidth="1"/>
    <col min="15618" max="15618" width="39.875" style="175" customWidth="1"/>
    <col min="15619" max="15619" width="13.25" style="175" customWidth="1"/>
    <col min="15620" max="15626" width="12.625" style="175" customWidth="1"/>
    <col min="15627" max="15627" width="9.25" style="175" customWidth="1"/>
    <col min="15628" max="15872" width="9" style="175"/>
    <col min="15873" max="15873" width="28.5" style="175" customWidth="1"/>
    <col min="15874" max="15874" width="39.875" style="175" customWidth="1"/>
    <col min="15875" max="15875" width="13.25" style="175" customWidth="1"/>
    <col min="15876" max="15882" width="12.625" style="175" customWidth="1"/>
    <col min="15883" max="15883" width="9.25" style="175" customWidth="1"/>
    <col min="15884" max="16128" width="9" style="175"/>
    <col min="16129" max="16129" width="28.5" style="175" customWidth="1"/>
    <col min="16130" max="16130" width="39.875" style="175" customWidth="1"/>
    <col min="16131" max="16131" width="13.25" style="175" customWidth="1"/>
    <col min="16132" max="16138" width="12.625" style="175" customWidth="1"/>
    <col min="16139" max="16139" width="9.25" style="175" customWidth="1"/>
    <col min="16140" max="16384" width="9" style="175"/>
  </cols>
  <sheetData>
    <row r="1" spans="1:11" ht="18.75" x14ac:dyDescent="0.25">
      <c r="A1" s="174"/>
    </row>
    <row r="2" spans="1:11" ht="15.75" thickBot="1" x14ac:dyDescent="0.3"/>
    <row r="3" spans="1:11" s="176" customFormat="1" ht="15.75" x14ac:dyDescent="0.25">
      <c r="B3" s="364" t="s">
        <v>64</v>
      </c>
      <c r="C3" s="188"/>
      <c r="D3" s="188"/>
      <c r="E3" s="188"/>
      <c r="F3" s="188"/>
      <c r="G3" s="188"/>
      <c r="H3" s="188"/>
      <c r="I3" s="188"/>
      <c r="J3" s="189"/>
    </row>
    <row r="4" spans="1:11" s="176" customFormat="1" ht="15.75" x14ac:dyDescent="0.25">
      <c r="B4" s="192" t="s">
        <v>65</v>
      </c>
      <c r="C4" s="190"/>
      <c r="D4" s="190"/>
      <c r="E4" s="190"/>
      <c r="F4" s="190"/>
      <c r="G4" s="190"/>
      <c r="H4" s="190"/>
      <c r="I4" s="190"/>
      <c r="J4" s="191"/>
    </row>
    <row r="5" spans="1:11" s="176" customFormat="1" ht="15.75" x14ac:dyDescent="0.25">
      <c r="B5" s="192" t="s">
        <v>66</v>
      </c>
      <c r="C5" s="190"/>
      <c r="D5" s="190"/>
      <c r="E5" s="190"/>
      <c r="F5" s="190"/>
      <c r="G5" s="190"/>
      <c r="H5" s="190"/>
      <c r="I5" s="190"/>
      <c r="J5" s="191"/>
    </row>
    <row r="6" spans="1:11" s="176" customFormat="1" ht="16.5" thickBot="1" x14ac:dyDescent="0.3">
      <c r="B6" s="203"/>
      <c r="C6" s="193"/>
      <c r="D6" s="193"/>
      <c r="E6" s="193"/>
      <c r="F6" s="193"/>
      <c r="G6" s="193"/>
      <c r="H6" s="193"/>
      <c r="I6" s="193"/>
      <c r="J6" s="194"/>
    </row>
    <row r="7" spans="1:11" s="176" customFormat="1" ht="15.75" x14ac:dyDescent="0.25"/>
    <row r="8" spans="1:11" s="176" customFormat="1" ht="31.5" x14ac:dyDescent="0.25">
      <c r="B8" s="177" t="s">
        <v>67</v>
      </c>
      <c r="C8" s="177" t="s">
        <v>68</v>
      </c>
      <c r="D8" s="177" t="s">
        <v>69</v>
      </c>
      <c r="E8" s="177" t="s">
        <v>70</v>
      </c>
      <c r="F8" s="177" t="s">
        <v>71</v>
      </c>
    </row>
    <row r="9" spans="1:11" s="178" customFormat="1" ht="15.75" x14ac:dyDescent="0.25">
      <c r="B9" s="179" t="s">
        <v>72</v>
      </c>
      <c r="C9" s="180">
        <f>ROUND(C61/1000,2)</f>
        <v>538.88</v>
      </c>
      <c r="D9" s="180">
        <f>+ROUNDUP($C9*(D12),2)</f>
        <v>709.01</v>
      </c>
      <c r="E9" s="180">
        <f>+ROUNDUP($C9*(E12),2)</f>
        <v>324.43</v>
      </c>
      <c r="F9" s="366">
        <f>SUM(C9:E9)</f>
        <v>1572.32</v>
      </c>
      <c r="G9" s="181"/>
      <c r="H9" s="181"/>
      <c r="I9" s="181"/>
      <c r="J9" s="181"/>
      <c r="K9" s="182"/>
    </row>
    <row r="10" spans="1:11" s="178" customFormat="1" ht="15.75" x14ac:dyDescent="0.25">
      <c r="B10" s="179" t="s">
        <v>73</v>
      </c>
      <c r="C10" s="183">
        <f>+J73</f>
        <v>5</v>
      </c>
      <c r="D10" s="183">
        <f>+ROUNDUP(D9/1000*D13,0)</f>
        <v>45</v>
      </c>
      <c r="E10" s="183">
        <f>+ROUNDUP(E9/1000*E13,0)</f>
        <v>27</v>
      </c>
      <c r="F10" s="367">
        <f>SUM(C10:E10)</f>
        <v>77</v>
      </c>
      <c r="K10" s="176"/>
    </row>
    <row r="11" spans="1:11" s="178" customFormat="1" ht="15.75" x14ac:dyDescent="0.25">
      <c r="B11" s="184" t="s">
        <v>74</v>
      </c>
      <c r="C11" s="185"/>
      <c r="D11" s="185"/>
      <c r="E11" s="185"/>
      <c r="F11" s="185"/>
      <c r="K11" s="176"/>
    </row>
    <row r="12" spans="1:11" s="178" customFormat="1" ht="15.75" x14ac:dyDescent="0.25">
      <c r="B12" s="179" t="s">
        <v>75</v>
      </c>
      <c r="C12" s="185">
        <f>+IF($F$12=1,'4_prioritate_3_pielikums_2d'!F15,'4_prioritate_3_pielikums_2d'!F10)</f>
        <v>1</v>
      </c>
      <c r="D12" s="185">
        <f>+IF($F$12=1,'4_prioritate_3_pielikums_2d'!G15,'4_prioritate_3_pielikums_2d'!G10)</f>
        <v>1.3156971993682502</v>
      </c>
      <c r="E12" s="185">
        <f>+IF($F$12=1,'4_prioritate_3_pielikums_2d'!H15,'4_prioritate_3_pielikums_2d'!H10)</f>
        <v>0.60204252504718636</v>
      </c>
      <c r="F12" s="365">
        <v>1</v>
      </c>
      <c r="K12" s="176"/>
    </row>
    <row r="13" spans="1:11" s="178" customFormat="1" ht="31.5" x14ac:dyDescent="0.25">
      <c r="B13" s="179" t="s">
        <v>76</v>
      </c>
      <c r="C13" s="183">
        <v>0</v>
      </c>
      <c r="D13" s="183">
        <f>+'4_prioritate_3_pielikums_2d'!C10</f>
        <v>62.284709238535228</v>
      </c>
      <c r="E13" s="183">
        <f>+'4_prioritate_3_pielikums_2d'!D10</f>
        <v>82.567016347785753</v>
      </c>
      <c r="F13" s="186"/>
      <c r="K13" s="176"/>
    </row>
    <row r="14" spans="1:11" s="178" customFormat="1" ht="15.75" x14ac:dyDescent="0.25">
      <c r="K14" s="176"/>
    </row>
    <row r="15" spans="1:11" s="178" customFormat="1" ht="15.75" x14ac:dyDescent="0.25">
      <c r="B15" s="158" t="s">
        <v>49</v>
      </c>
      <c r="K15" s="176"/>
    </row>
    <row r="16" spans="1:11" s="178" customFormat="1" ht="15.75" x14ac:dyDescent="0.25">
      <c r="B16" s="158"/>
      <c r="K16" s="176"/>
    </row>
    <row r="17" spans="2:11" s="178" customFormat="1" ht="15.75" x14ac:dyDescent="0.25">
      <c r="B17" s="158"/>
      <c r="K17" s="176"/>
    </row>
    <row r="18" spans="2:11" s="178" customFormat="1" ht="15.75" x14ac:dyDescent="0.25">
      <c r="B18" s="158"/>
      <c r="K18" s="176"/>
    </row>
    <row r="19" spans="2:11" s="178" customFormat="1" ht="15.75" x14ac:dyDescent="0.25">
      <c r="B19" s="158"/>
      <c r="K19" s="176"/>
    </row>
    <row r="20" spans="2:11" s="178" customFormat="1" ht="15.75" x14ac:dyDescent="0.25">
      <c r="B20" s="158"/>
      <c r="K20" s="176"/>
    </row>
    <row r="21" spans="2:11" s="178" customFormat="1" ht="15.75" x14ac:dyDescent="0.25">
      <c r="B21" s="158"/>
      <c r="K21" s="176"/>
    </row>
    <row r="22" spans="2:11" s="178" customFormat="1" ht="15.75" x14ac:dyDescent="0.25">
      <c r="B22" s="158"/>
      <c r="K22" s="176"/>
    </row>
    <row r="23" spans="2:11" s="178" customFormat="1" ht="15.75" x14ac:dyDescent="0.25">
      <c r="B23" s="158"/>
      <c r="K23" s="176"/>
    </row>
    <row r="24" spans="2:11" s="178" customFormat="1" ht="15.75" x14ac:dyDescent="0.25">
      <c r="B24" s="158"/>
      <c r="K24" s="176"/>
    </row>
    <row r="25" spans="2:11" s="178" customFormat="1" ht="15.75" x14ac:dyDescent="0.25">
      <c r="B25" s="158"/>
      <c r="K25" s="176"/>
    </row>
    <row r="26" spans="2:11" s="178" customFormat="1" ht="15.75" x14ac:dyDescent="0.25">
      <c r="B26" s="158"/>
      <c r="K26" s="176"/>
    </row>
    <row r="27" spans="2:11" s="178" customFormat="1" ht="15.75" x14ac:dyDescent="0.25">
      <c r="B27" s="158"/>
      <c r="K27" s="176"/>
    </row>
    <row r="28" spans="2:11" s="178" customFormat="1" ht="15.75" x14ac:dyDescent="0.25">
      <c r="B28" s="158"/>
      <c r="K28" s="176"/>
    </row>
    <row r="29" spans="2:11" s="178" customFormat="1" ht="15.75" x14ac:dyDescent="0.25">
      <c r="B29" s="158"/>
      <c r="K29" s="176"/>
    </row>
    <row r="30" spans="2:11" s="178" customFormat="1" ht="15.75" x14ac:dyDescent="0.25">
      <c r="B30" s="158"/>
      <c r="K30" s="176"/>
    </row>
    <row r="31" spans="2:11" s="178" customFormat="1" ht="15.75" x14ac:dyDescent="0.25">
      <c r="B31" s="158"/>
      <c r="K31" s="176"/>
    </row>
    <row r="32" spans="2:11" s="178" customFormat="1" ht="15.75" x14ac:dyDescent="0.25">
      <c r="B32" s="158"/>
      <c r="K32" s="176"/>
    </row>
    <row r="33" spans="2:11" s="178" customFormat="1" ht="15.75" x14ac:dyDescent="0.25">
      <c r="B33" s="158"/>
      <c r="K33" s="176"/>
    </row>
    <row r="34" spans="2:11" s="178" customFormat="1" ht="15.75" x14ac:dyDescent="0.25">
      <c r="B34" s="158"/>
      <c r="K34" s="176"/>
    </row>
    <row r="35" spans="2:11" s="178" customFormat="1" ht="15.75" x14ac:dyDescent="0.25">
      <c r="B35" s="158"/>
      <c r="K35" s="176"/>
    </row>
    <row r="36" spans="2:11" s="178" customFormat="1" ht="15.75" x14ac:dyDescent="0.25">
      <c r="B36" s="158"/>
      <c r="K36" s="176"/>
    </row>
    <row r="37" spans="2:11" s="178" customFormat="1" ht="15.75" x14ac:dyDescent="0.25">
      <c r="B37" s="158"/>
      <c r="K37" s="176"/>
    </row>
    <row r="38" spans="2:11" s="178" customFormat="1" ht="15.75" x14ac:dyDescent="0.25">
      <c r="B38" s="158"/>
      <c r="K38" s="176"/>
    </row>
    <row r="39" spans="2:11" s="178" customFormat="1" ht="15.75" x14ac:dyDescent="0.25">
      <c r="B39" s="158"/>
      <c r="K39" s="176"/>
    </row>
    <row r="40" spans="2:11" s="178" customFormat="1" ht="15.75" x14ac:dyDescent="0.25">
      <c r="B40" s="158"/>
      <c r="K40" s="176"/>
    </row>
    <row r="41" spans="2:11" s="178" customFormat="1" ht="15.75" x14ac:dyDescent="0.25">
      <c r="B41" s="158"/>
      <c r="K41" s="176"/>
    </row>
    <row r="42" spans="2:11" s="178" customFormat="1" ht="15.75" x14ac:dyDescent="0.25">
      <c r="B42" s="158"/>
      <c r="K42" s="176"/>
    </row>
    <row r="43" spans="2:11" s="178" customFormat="1" ht="15.75" x14ac:dyDescent="0.25">
      <c r="B43" s="158"/>
      <c r="K43" s="176"/>
    </row>
    <row r="44" spans="2:11" s="178" customFormat="1" ht="15.75" x14ac:dyDescent="0.25">
      <c r="B44" s="158"/>
      <c r="K44" s="176"/>
    </row>
    <row r="45" spans="2:11" s="178" customFormat="1" ht="15.75" x14ac:dyDescent="0.25">
      <c r="B45" s="158"/>
      <c r="K45" s="176"/>
    </row>
    <row r="46" spans="2:11" s="178" customFormat="1" ht="15.75" x14ac:dyDescent="0.25">
      <c r="B46" s="158"/>
      <c r="K46" s="176"/>
    </row>
    <row r="47" spans="2:11" s="178" customFormat="1" ht="15.75" x14ac:dyDescent="0.25">
      <c r="B47" s="158"/>
      <c r="K47" s="176"/>
    </row>
    <row r="48" spans="2:11" s="178" customFormat="1" ht="15.75" x14ac:dyDescent="0.25">
      <c r="B48" s="158"/>
      <c r="K48" s="176"/>
    </row>
    <row r="49" spans="2:11" s="178" customFormat="1" ht="15.75" x14ac:dyDescent="0.25">
      <c r="B49" s="158"/>
      <c r="K49" s="176"/>
    </row>
    <row r="50" spans="2:11" s="178" customFormat="1" ht="15.75" x14ac:dyDescent="0.25">
      <c r="B50" s="158"/>
      <c r="K50" s="176"/>
    </row>
    <row r="51" spans="2:11" s="178" customFormat="1" ht="15.75" x14ac:dyDescent="0.25">
      <c r="B51" s="158"/>
      <c r="K51" s="176"/>
    </row>
    <row r="52" spans="2:11" s="178" customFormat="1" ht="15.75" x14ac:dyDescent="0.25">
      <c r="B52" s="158"/>
      <c r="K52" s="176"/>
    </row>
    <row r="53" spans="2:11" s="178" customFormat="1" ht="15.75" x14ac:dyDescent="0.25">
      <c r="B53" s="158"/>
      <c r="K53" s="176"/>
    </row>
    <row r="54" spans="2:11" s="178" customFormat="1" ht="15.75" x14ac:dyDescent="0.25">
      <c r="B54" s="158"/>
      <c r="K54" s="176"/>
    </row>
    <row r="55" spans="2:11" s="178" customFormat="1" ht="15.75" x14ac:dyDescent="0.25">
      <c r="B55" s="158"/>
      <c r="K55" s="176"/>
    </row>
    <row r="56" spans="2:11" s="178" customFormat="1" ht="15.75" x14ac:dyDescent="0.25">
      <c r="B56" s="158"/>
      <c r="K56" s="176"/>
    </row>
    <row r="57" spans="2:11" s="178" customFormat="1" ht="15.75" x14ac:dyDescent="0.25">
      <c r="B57" s="158"/>
      <c r="K57" s="176"/>
    </row>
    <row r="58" spans="2:11" s="178" customFormat="1" ht="15.75" x14ac:dyDescent="0.25">
      <c r="B58" s="158"/>
      <c r="K58" s="176"/>
    </row>
    <row r="59" spans="2:11" s="178" customFormat="1" ht="15.75" x14ac:dyDescent="0.25">
      <c r="B59" s="158"/>
      <c r="K59" s="176"/>
    </row>
    <row r="60" spans="2:11" s="178" customFormat="1" ht="15.75" x14ac:dyDescent="0.25">
      <c r="B60" s="158"/>
      <c r="K60" s="176"/>
    </row>
    <row r="61" spans="2:11" s="178" customFormat="1" ht="16.5" hidden="1" thickBot="1" x14ac:dyDescent="0.3">
      <c r="B61" s="393" t="s">
        <v>77</v>
      </c>
      <c r="C61" s="394">
        <f>+'4_prioritate_3_pielikums_1d'!G37</f>
        <v>538883</v>
      </c>
      <c r="D61" s="395" t="s">
        <v>2</v>
      </c>
      <c r="E61" s="395"/>
    </row>
    <row r="62" spans="2:11" s="178" customFormat="1" ht="16.5" hidden="1" thickBot="1" x14ac:dyDescent="0.3">
      <c r="B62" s="369"/>
      <c r="C62" s="370"/>
      <c r="D62" s="370"/>
      <c r="E62" s="370"/>
      <c r="F62" s="188"/>
      <c r="G62" s="188"/>
      <c r="H62" s="188"/>
      <c r="I62" s="188"/>
      <c r="J62" s="189"/>
    </row>
    <row r="63" spans="2:11" s="178" customFormat="1" ht="15.75" hidden="1" x14ac:dyDescent="0.25">
      <c r="B63" s="371"/>
      <c r="C63" s="372"/>
      <c r="D63" s="370"/>
      <c r="E63" s="370"/>
      <c r="F63" s="189"/>
      <c r="G63" s="190"/>
      <c r="H63" s="190"/>
      <c r="I63" s="190"/>
      <c r="J63" s="191"/>
    </row>
    <row r="64" spans="2:11" s="178" customFormat="1" ht="15.75" hidden="1" x14ac:dyDescent="0.25">
      <c r="B64" s="373" t="s">
        <v>78</v>
      </c>
      <c r="C64" s="374">
        <v>1110000</v>
      </c>
      <c r="D64" s="375" t="s">
        <v>2</v>
      </c>
      <c r="E64" s="376"/>
      <c r="F64" s="191"/>
      <c r="H64" s="190"/>
      <c r="I64" s="190"/>
      <c r="J64" s="191"/>
    </row>
    <row r="65" spans="2:11" s="178" customFormat="1" ht="15.75" hidden="1" x14ac:dyDescent="0.25">
      <c r="B65" s="373"/>
      <c r="C65" s="377"/>
      <c r="D65" s="376"/>
      <c r="E65" s="376"/>
      <c r="F65" s="191"/>
      <c r="G65" s="190"/>
      <c r="H65" s="190"/>
      <c r="I65" s="190"/>
      <c r="J65" s="191"/>
    </row>
    <row r="66" spans="2:11" s="178" customFormat="1" ht="16.5" hidden="1" thickBot="1" x14ac:dyDescent="0.3">
      <c r="B66" s="378" t="s">
        <v>79</v>
      </c>
      <c r="C66" s="379">
        <v>14</v>
      </c>
      <c r="D66" s="380"/>
      <c r="E66" s="381"/>
      <c r="F66" s="194"/>
      <c r="G66" s="190"/>
      <c r="H66" s="190"/>
      <c r="I66" s="190"/>
      <c r="J66" s="191"/>
    </row>
    <row r="67" spans="2:11" s="178" customFormat="1" ht="15.75" hidden="1" x14ac:dyDescent="0.25">
      <c r="B67" s="375"/>
      <c r="C67" s="376"/>
      <c r="D67" s="376"/>
      <c r="E67" s="382"/>
      <c r="F67" s="195"/>
      <c r="G67" s="190"/>
      <c r="H67" s="190"/>
      <c r="I67" s="190"/>
      <c r="J67" s="191"/>
    </row>
    <row r="68" spans="2:11" s="178" customFormat="1" ht="15.75" hidden="1" x14ac:dyDescent="0.25">
      <c r="B68" s="375"/>
      <c r="C68" s="383">
        <v>2011</v>
      </c>
      <c r="D68" s="383">
        <v>2012</v>
      </c>
      <c r="E68" s="383">
        <f t="shared" ref="E68:J68" si="0">+D68+1</f>
        <v>2013</v>
      </c>
      <c r="F68" s="196">
        <f t="shared" si="0"/>
        <v>2014</v>
      </c>
      <c r="G68" s="196">
        <f t="shared" si="0"/>
        <v>2015</v>
      </c>
      <c r="H68" s="196">
        <f t="shared" si="0"/>
        <v>2016</v>
      </c>
      <c r="I68" s="196">
        <f t="shared" si="0"/>
        <v>2017</v>
      </c>
      <c r="J68" s="197">
        <f t="shared" si="0"/>
        <v>2018</v>
      </c>
    </row>
    <row r="69" spans="2:11" s="178" customFormat="1" ht="15.75" hidden="1" x14ac:dyDescent="0.25">
      <c r="B69" s="373" t="s">
        <v>80</v>
      </c>
      <c r="C69" s="368">
        <f>+C64</f>
        <v>1110000</v>
      </c>
      <c r="D69" s="368">
        <f t="shared" ref="D69:I69" si="1">+C69*D70</f>
        <v>1274280</v>
      </c>
      <c r="E69" s="368">
        <f t="shared" si="1"/>
        <v>1569663.2011199999</v>
      </c>
      <c r="F69" s="187">
        <f t="shared" si="1"/>
        <v>2138470.255230417</v>
      </c>
      <c r="G69" s="187">
        <f t="shared" si="1"/>
        <v>2895918.4996289555</v>
      </c>
      <c r="H69" s="187">
        <f t="shared" si="1"/>
        <v>3270660.8112076498</v>
      </c>
      <c r="I69" s="187">
        <f t="shared" si="1"/>
        <v>4584576.2194819553</v>
      </c>
      <c r="J69" s="187">
        <f>+I69*J70</f>
        <v>6856891.9638226796</v>
      </c>
    </row>
    <row r="70" spans="2:11" s="178" customFormat="1" ht="15.75" hidden="1" x14ac:dyDescent="0.25">
      <c r="B70" s="373" t="s">
        <v>81</v>
      </c>
      <c r="C70" s="384">
        <v>1</v>
      </c>
      <c r="D70" s="384">
        <v>1.1479999999999999</v>
      </c>
      <c r="E70" s="384">
        <v>1.2318039999999999</v>
      </c>
      <c r="F70" s="198">
        <v>1.362375224</v>
      </c>
      <c r="G70" s="198">
        <v>1.354200972656</v>
      </c>
      <c r="H70" s="198">
        <v>1.129403611195104</v>
      </c>
      <c r="I70" s="198">
        <v>1.4017278110196818</v>
      </c>
      <c r="J70" s="199">
        <v>1.4956435743580003</v>
      </c>
    </row>
    <row r="71" spans="2:11" s="178" customFormat="1" ht="15.75" hidden="1" x14ac:dyDescent="0.25">
      <c r="B71" s="373" t="s">
        <v>82</v>
      </c>
      <c r="C71" s="368">
        <f>+C85</f>
        <v>302727.27272727271</v>
      </c>
      <c r="D71" s="368">
        <f>+ROUND(D70*C71,0)</f>
        <v>347531</v>
      </c>
      <c r="E71" s="368">
        <f t="shared" ref="E71:J71" si="2">+ROUND(E70*D71,0)</f>
        <v>428090</v>
      </c>
      <c r="F71" s="187">
        <f t="shared" si="2"/>
        <v>583219</v>
      </c>
      <c r="G71" s="187">
        <f t="shared" si="2"/>
        <v>789796</v>
      </c>
      <c r="H71" s="187">
        <f t="shared" si="2"/>
        <v>891998</v>
      </c>
      <c r="I71" s="187">
        <f t="shared" si="2"/>
        <v>1250338</v>
      </c>
      <c r="J71" s="187">
        <f t="shared" si="2"/>
        <v>1870060</v>
      </c>
    </row>
    <row r="72" spans="2:11" s="178" customFormat="1" ht="16.5" hidden="1" thickBot="1" x14ac:dyDescent="0.3">
      <c r="B72" s="373"/>
      <c r="C72" s="385"/>
      <c r="D72" s="385"/>
      <c r="E72" s="385"/>
      <c r="F72" s="200"/>
      <c r="G72" s="200"/>
      <c r="H72" s="200"/>
      <c r="I72" s="200"/>
      <c r="J72" s="201"/>
    </row>
    <row r="73" spans="2:11" s="178" customFormat="1" ht="16.5" hidden="1" thickBot="1" x14ac:dyDescent="0.3">
      <c r="B73" s="386" t="s">
        <v>83</v>
      </c>
      <c r="C73" s="387">
        <f t="shared" ref="C73:J73" si="3">ROUNDUP($C$61/C71*$C$66,0)</f>
        <v>25</v>
      </c>
      <c r="D73" s="387">
        <f t="shared" si="3"/>
        <v>22</v>
      </c>
      <c r="E73" s="387">
        <f t="shared" si="3"/>
        <v>18</v>
      </c>
      <c r="F73" s="202">
        <f t="shared" si="3"/>
        <v>13</v>
      </c>
      <c r="G73" s="202">
        <f t="shared" si="3"/>
        <v>10</v>
      </c>
      <c r="H73" s="202">
        <f t="shared" si="3"/>
        <v>9</v>
      </c>
      <c r="I73" s="202">
        <f t="shared" si="3"/>
        <v>7</v>
      </c>
      <c r="J73" s="202">
        <f t="shared" si="3"/>
        <v>5</v>
      </c>
    </row>
    <row r="74" spans="2:11" s="178" customFormat="1" ht="16.5" hidden="1" thickBot="1" x14ac:dyDescent="0.3">
      <c r="B74" s="388"/>
      <c r="C74" s="381"/>
      <c r="D74" s="381"/>
      <c r="E74" s="381"/>
      <c r="F74" s="193"/>
      <c r="G74" s="193"/>
      <c r="H74" s="193"/>
      <c r="I74" s="193"/>
      <c r="J74" s="194"/>
    </row>
    <row r="75" spans="2:11" ht="15.75" hidden="1" x14ac:dyDescent="0.25">
      <c r="B75" s="389"/>
      <c r="C75" s="389"/>
      <c r="D75" s="389"/>
      <c r="E75" s="389"/>
      <c r="K75" s="178"/>
    </row>
    <row r="76" spans="2:11" ht="15.75" hidden="1" x14ac:dyDescent="0.25">
      <c r="B76" s="389"/>
      <c r="C76" s="389"/>
      <c r="D76" s="389"/>
      <c r="E76" s="389"/>
      <c r="K76" s="178"/>
    </row>
    <row r="77" spans="2:11" ht="15.75" hidden="1" x14ac:dyDescent="0.25">
      <c r="B77" s="389"/>
      <c r="C77" s="390">
        <f>+C64/C66</f>
        <v>79285.71428571429</v>
      </c>
      <c r="D77" s="390">
        <f t="shared" ref="D77:I77" si="4">+C77*D78</f>
        <v>91020</v>
      </c>
      <c r="E77" s="390">
        <f t="shared" si="4"/>
        <v>112118.80007999999</v>
      </c>
      <c r="F77" s="204">
        <f t="shared" si="4"/>
        <v>152747.87537360119</v>
      </c>
      <c r="G77" s="204">
        <f t="shared" si="4"/>
        <v>206851.32140206819</v>
      </c>
      <c r="H77" s="204">
        <f t="shared" si="4"/>
        <v>233618.62937197491</v>
      </c>
      <c r="I77" s="204">
        <f t="shared" si="4"/>
        <v>327469.72996299673</v>
      </c>
      <c r="J77" s="204">
        <f>+I77*J78</f>
        <v>489777.99741590559</v>
      </c>
    </row>
    <row r="78" spans="2:11" ht="15.75" hidden="1" x14ac:dyDescent="0.25">
      <c r="B78" s="389"/>
      <c r="C78" s="384">
        <v>1</v>
      </c>
      <c r="D78" s="384">
        <v>1.1479999999999999</v>
      </c>
      <c r="E78" s="384">
        <v>1.2318039999999999</v>
      </c>
      <c r="F78" s="198">
        <v>1.362375224</v>
      </c>
      <c r="G78" s="198">
        <v>1.354200972656</v>
      </c>
      <c r="H78" s="198">
        <v>1.129403611195104</v>
      </c>
      <c r="I78" s="198">
        <v>1.4017278110196818</v>
      </c>
      <c r="J78" s="199">
        <v>1.4956435743580003</v>
      </c>
    </row>
    <row r="79" spans="2:11" hidden="1" x14ac:dyDescent="0.25">
      <c r="B79" s="389"/>
      <c r="C79" s="389"/>
      <c r="D79" s="389"/>
      <c r="E79" s="389"/>
    </row>
    <row r="80" spans="2:11" hidden="1" x14ac:dyDescent="0.25">
      <c r="B80" s="389"/>
      <c r="C80" s="389"/>
      <c r="D80" s="389"/>
      <c r="E80" s="389"/>
    </row>
    <row r="81" spans="2:5" hidden="1" x14ac:dyDescent="0.25">
      <c r="B81" s="389"/>
      <c r="C81" s="389"/>
      <c r="D81" s="389"/>
      <c r="E81" s="389"/>
    </row>
    <row r="82" spans="2:5" hidden="1" x14ac:dyDescent="0.25">
      <c r="B82" s="389"/>
      <c r="C82" s="389"/>
      <c r="D82" s="389"/>
      <c r="E82" s="389"/>
    </row>
    <row r="83" spans="2:5" hidden="1" x14ac:dyDescent="0.25">
      <c r="B83" s="389"/>
      <c r="C83" s="389"/>
      <c r="D83" s="389"/>
      <c r="E83" s="389"/>
    </row>
    <row r="84" spans="2:5" ht="15.75" hidden="1" x14ac:dyDescent="0.25">
      <c r="B84" s="391" t="s">
        <v>84</v>
      </c>
      <c r="C84" s="390">
        <v>1110000</v>
      </c>
      <c r="D84" s="390">
        <f>+J69</f>
        <v>6856891.9638226796</v>
      </c>
      <c r="E84" s="389"/>
    </row>
    <row r="85" spans="2:5" ht="15.75" hidden="1" x14ac:dyDescent="0.25">
      <c r="B85" s="391" t="s">
        <v>85</v>
      </c>
      <c r="C85" s="390">
        <f>+C84*C87</f>
        <v>302727.27272727271</v>
      </c>
      <c r="D85" s="390">
        <f>+C85*J70</f>
        <v>452772.10023746733</v>
      </c>
      <c r="E85" s="389"/>
    </row>
    <row r="86" spans="2:5" hidden="1" x14ac:dyDescent="0.25">
      <c r="B86" s="389"/>
      <c r="C86" s="389" t="s">
        <v>86</v>
      </c>
      <c r="D86" s="389" t="s">
        <v>87</v>
      </c>
      <c r="E86" s="389"/>
    </row>
    <row r="87" spans="2:5" hidden="1" x14ac:dyDescent="0.2">
      <c r="B87" s="392" t="s">
        <v>88</v>
      </c>
      <c r="C87" s="389">
        <v>0.27272727272727271</v>
      </c>
      <c r="D87" s="389">
        <v>0.3707865168539326</v>
      </c>
      <c r="E87" s="389"/>
    </row>
    <row r="88" spans="2:5" x14ac:dyDescent="0.25">
      <c r="B88" s="389"/>
      <c r="C88" s="389"/>
      <c r="D88" s="389"/>
      <c r="E88" s="389"/>
    </row>
  </sheetData>
  <hyperlinks>
    <hyperlink ref="B87" r:id="rId1"/>
  </hyperlinks>
  <pageMargins left="0.4" right="0.37" top="0.74803149606299213" bottom="0.74803149606299213" header="0.31496062992125984" footer="0.31496062992125984"/>
  <pageSetup paperSize="9" scale="90" orientation="landscape" cellComments="asDisplayed" r:id="rId2"/>
  <headerFooter>
    <oddFooter>&amp;C&amp;A</oddFooter>
  </headerFooter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E21"/>
  <sheetViews>
    <sheetView view="pageBreakPreview" zoomScale="130" zoomScaleNormal="115" zoomScaleSheetLayoutView="130" workbookViewId="0">
      <selection activeCell="D13" sqref="D13"/>
    </sheetView>
  </sheetViews>
  <sheetFormatPr defaultRowHeight="15.75" x14ac:dyDescent="0.25"/>
  <cols>
    <col min="2" max="2" width="30" customWidth="1"/>
    <col min="4" max="5" width="9" style="399"/>
  </cols>
  <sheetData>
    <row r="1" spans="2:5" x14ac:dyDescent="0.25">
      <c r="B1" s="303" t="s">
        <v>164</v>
      </c>
    </row>
    <row r="3" spans="2:5" x14ac:dyDescent="0.25">
      <c r="B3" t="s">
        <v>89</v>
      </c>
      <c r="C3" s="415">
        <v>1.4999999999999999E-2</v>
      </c>
      <c r="D3" s="20">
        <f>+'4_prioritate_2_pielikums'!Y14/1000*C3</f>
        <v>8.6665113125225428</v>
      </c>
      <c r="E3" s="399" t="s">
        <v>91</v>
      </c>
    </row>
    <row r="4" spans="2:5" x14ac:dyDescent="0.25">
      <c r="C4" s="416"/>
    </row>
    <row r="5" spans="2:5" x14ac:dyDescent="0.25">
      <c r="C5" s="416"/>
    </row>
    <row r="6" spans="2:5" x14ac:dyDescent="0.25">
      <c r="B6" t="s">
        <v>90</v>
      </c>
      <c r="C6" s="415">
        <v>0.01</v>
      </c>
      <c r="D6" s="20">
        <f>+'4_prioritate_2_pielikums'!Y14/1000*C6</f>
        <v>5.7776742083483628</v>
      </c>
      <c r="E6" s="399" t="s">
        <v>91</v>
      </c>
    </row>
    <row r="7" spans="2:5" x14ac:dyDescent="0.25">
      <c r="C7" s="417"/>
      <c r="D7" s="396"/>
    </row>
    <row r="8" spans="2:5" x14ac:dyDescent="0.25">
      <c r="C8" s="416"/>
    </row>
    <row r="9" spans="2:5" x14ac:dyDescent="0.25">
      <c r="B9" t="s">
        <v>95</v>
      </c>
      <c r="C9" s="415">
        <v>5.0000000000000001E-3</v>
      </c>
      <c r="D9" s="20">
        <f>+'4_prioritate_2_pielikums'!Y14/1000*C9</f>
        <v>2.8888371041741814</v>
      </c>
      <c r="E9" s="399" t="s">
        <v>91</v>
      </c>
    </row>
    <row r="11" spans="2:5" ht="16.5" thickBot="1" x14ac:dyDescent="0.3"/>
    <row r="12" spans="2:5" ht="16.5" thickBot="1" x14ac:dyDescent="0.3">
      <c r="C12" s="397" t="s">
        <v>25</v>
      </c>
      <c r="D12" s="398">
        <f>SUM(D2:D9)</f>
        <v>17.333022625045089</v>
      </c>
      <c r="E12" s="399" t="s">
        <v>91</v>
      </c>
    </row>
    <row r="20" spans="3:4" x14ac:dyDescent="0.25">
      <c r="C20" s="206"/>
    </row>
    <row r="21" spans="3:4" x14ac:dyDescent="0.25">
      <c r="C21" s="206"/>
      <c r="D21" s="400"/>
    </row>
  </sheetData>
  <pageMargins left="0.7" right="0.7" top="0.75" bottom="0.75" header="0.3" footer="0.3"/>
  <pageSetup paperSize="9" orientation="portrait" cellComments="asDisplayed" r:id="rId1"/>
  <headerFooter>
    <oddFooter>&amp;C&amp;A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25"/>
  <sheetViews>
    <sheetView view="pageBreakPreview" zoomScaleNormal="85" zoomScaleSheetLayoutView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A3" sqref="A3"/>
    </sheetView>
  </sheetViews>
  <sheetFormatPr defaultRowHeight="15.75" outlineLevelCol="1" x14ac:dyDescent="0.25"/>
  <cols>
    <col min="1" max="1" width="40.5" style="61" customWidth="1"/>
    <col min="2" max="2" width="11.75" style="61" customWidth="1"/>
    <col min="3" max="3" width="17.5" style="61" customWidth="1"/>
    <col min="4" max="13" width="9" style="61" customWidth="1"/>
    <col min="14" max="17" width="9" style="61" hidden="1" customWidth="1" outlineLevel="1"/>
    <col min="18" max="18" width="9" style="61" customWidth="1" collapsed="1"/>
    <col min="19" max="22" width="9" style="61" hidden="1" customWidth="1" outlineLevel="1"/>
    <col min="23" max="23" width="9" style="61" customWidth="1" collapsed="1"/>
    <col min="24" max="27" width="9" style="61" hidden="1" customWidth="1" outlineLevel="1"/>
    <col min="28" max="28" width="9" style="61" customWidth="1" collapsed="1"/>
    <col min="29" max="33" width="9" style="61" customWidth="1"/>
    <col min="34" max="256" width="9" style="61"/>
    <col min="257" max="257" width="46.625" style="61" customWidth="1"/>
    <col min="258" max="258" width="11.75" style="61" customWidth="1"/>
    <col min="259" max="269" width="10.375" style="61" customWidth="1"/>
    <col min="270" max="273" width="0" style="61" hidden="1" customWidth="1"/>
    <col min="274" max="274" width="10.375" style="61" customWidth="1"/>
    <col min="275" max="278" width="0" style="61" hidden="1" customWidth="1"/>
    <col min="279" max="279" width="10.375" style="61" customWidth="1"/>
    <col min="280" max="283" width="0" style="61" hidden="1" customWidth="1"/>
    <col min="284" max="289" width="10.375" style="61" customWidth="1"/>
    <col min="290" max="512" width="9" style="61"/>
    <col min="513" max="513" width="46.625" style="61" customWidth="1"/>
    <col min="514" max="514" width="11.75" style="61" customWidth="1"/>
    <col min="515" max="525" width="10.375" style="61" customWidth="1"/>
    <col min="526" max="529" width="0" style="61" hidden="1" customWidth="1"/>
    <col min="530" max="530" width="10.375" style="61" customWidth="1"/>
    <col min="531" max="534" width="0" style="61" hidden="1" customWidth="1"/>
    <col min="535" max="535" width="10.375" style="61" customWidth="1"/>
    <col min="536" max="539" width="0" style="61" hidden="1" customWidth="1"/>
    <col min="540" max="545" width="10.375" style="61" customWidth="1"/>
    <col min="546" max="768" width="9" style="61"/>
    <col min="769" max="769" width="46.625" style="61" customWidth="1"/>
    <col min="770" max="770" width="11.75" style="61" customWidth="1"/>
    <col min="771" max="781" width="10.375" style="61" customWidth="1"/>
    <col min="782" max="785" width="0" style="61" hidden="1" customWidth="1"/>
    <col min="786" max="786" width="10.375" style="61" customWidth="1"/>
    <col min="787" max="790" width="0" style="61" hidden="1" customWidth="1"/>
    <col min="791" max="791" width="10.375" style="61" customWidth="1"/>
    <col min="792" max="795" width="0" style="61" hidden="1" customWidth="1"/>
    <col min="796" max="801" width="10.375" style="61" customWidth="1"/>
    <col min="802" max="1024" width="9" style="61"/>
    <col min="1025" max="1025" width="46.625" style="61" customWidth="1"/>
    <col min="1026" max="1026" width="11.75" style="61" customWidth="1"/>
    <col min="1027" max="1037" width="10.375" style="61" customWidth="1"/>
    <col min="1038" max="1041" width="0" style="61" hidden="1" customWidth="1"/>
    <col min="1042" max="1042" width="10.375" style="61" customWidth="1"/>
    <col min="1043" max="1046" width="0" style="61" hidden="1" customWidth="1"/>
    <col min="1047" max="1047" width="10.375" style="61" customWidth="1"/>
    <col min="1048" max="1051" width="0" style="61" hidden="1" customWidth="1"/>
    <col min="1052" max="1057" width="10.375" style="61" customWidth="1"/>
    <col min="1058" max="1280" width="9" style="61"/>
    <col min="1281" max="1281" width="46.625" style="61" customWidth="1"/>
    <col min="1282" max="1282" width="11.75" style="61" customWidth="1"/>
    <col min="1283" max="1293" width="10.375" style="61" customWidth="1"/>
    <col min="1294" max="1297" width="0" style="61" hidden="1" customWidth="1"/>
    <col min="1298" max="1298" width="10.375" style="61" customWidth="1"/>
    <col min="1299" max="1302" width="0" style="61" hidden="1" customWidth="1"/>
    <col min="1303" max="1303" width="10.375" style="61" customWidth="1"/>
    <col min="1304" max="1307" width="0" style="61" hidden="1" customWidth="1"/>
    <col min="1308" max="1313" width="10.375" style="61" customWidth="1"/>
    <col min="1314" max="1536" width="9" style="61"/>
    <col min="1537" max="1537" width="46.625" style="61" customWidth="1"/>
    <col min="1538" max="1538" width="11.75" style="61" customWidth="1"/>
    <col min="1539" max="1549" width="10.375" style="61" customWidth="1"/>
    <col min="1550" max="1553" width="0" style="61" hidden="1" customWidth="1"/>
    <col min="1554" max="1554" width="10.375" style="61" customWidth="1"/>
    <col min="1555" max="1558" width="0" style="61" hidden="1" customWidth="1"/>
    <col min="1559" max="1559" width="10.375" style="61" customWidth="1"/>
    <col min="1560" max="1563" width="0" style="61" hidden="1" customWidth="1"/>
    <col min="1564" max="1569" width="10.375" style="61" customWidth="1"/>
    <col min="1570" max="1792" width="9" style="61"/>
    <col min="1793" max="1793" width="46.625" style="61" customWidth="1"/>
    <col min="1794" max="1794" width="11.75" style="61" customWidth="1"/>
    <col min="1795" max="1805" width="10.375" style="61" customWidth="1"/>
    <col min="1806" max="1809" width="0" style="61" hidden="1" customWidth="1"/>
    <col min="1810" max="1810" width="10.375" style="61" customWidth="1"/>
    <col min="1811" max="1814" width="0" style="61" hidden="1" customWidth="1"/>
    <col min="1815" max="1815" width="10.375" style="61" customWidth="1"/>
    <col min="1816" max="1819" width="0" style="61" hidden="1" customWidth="1"/>
    <col min="1820" max="1825" width="10.375" style="61" customWidth="1"/>
    <col min="1826" max="2048" width="9" style="61"/>
    <col min="2049" max="2049" width="46.625" style="61" customWidth="1"/>
    <col min="2050" max="2050" width="11.75" style="61" customWidth="1"/>
    <col min="2051" max="2061" width="10.375" style="61" customWidth="1"/>
    <col min="2062" max="2065" width="0" style="61" hidden="1" customWidth="1"/>
    <col min="2066" max="2066" width="10.375" style="61" customWidth="1"/>
    <col min="2067" max="2070" width="0" style="61" hidden="1" customWidth="1"/>
    <col min="2071" max="2071" width="10.375" style="61" customWidth="1"/>
    <col min="2072" max="2075" width="0" style="61" hidden="1" customWidth="1"/>
    <col min="2076" max="2081" width="10.375" style="61" customWidth="1"/>
    <col min="2082" max="2304" width="9" style="61"/>
    <col min="2305" max="2305" width="46.625" style="61" customWidth="1"/>
    <col min="2306" max="2306" width="11.75" style="61" customWidth="1"/>
    <col min="2307" max="2317" width="10.375" style="61" customWidth="1"/>
    <col min="2318" max="2321" width="0" style="61" hidden="1" customWidth="1"/>
    <col min="2322" max="2322" width="10.375" style="61" customWidth="1"/>
    <col min="2323" max="2326" width="0" style="61" hidden="1" customWidth="1"/>
    <col min="2327" max="2327" width="10.375" style="61" customWidth="1"/>
    <col min="2328" max="2331" width="0" style="61" hidden="1" customWidth="1"/>
    <col min="2332" max="2337" width="10.375" style="61" customWidth="1"/>
    <col min="2338" max="2560" width="9" style="61"/>
    <col min="2561" max="2561" width="46.625" style="61" customWidth="1"/>
    <col min="2562" max="2562" width="11.75" style="61" customWidth="1"/>
    <col min="2563" max="2573" width="10.375" style="61" customWidth="1"/>
    <col min="2574" max="2577" width="0" style="61" hidden="1" customWidth="1"/>
    <col min="2578" max="2578" width="10.375" style="61" customWidth="1"/>
    <col min="2579" max="2582" width="0" style="61" hidden="1" customWidth="1"/>
    <col min="2583" max="2583" width="10.375" style="61" customWidth="1"/>
    <col min="2584" max="2587" width="0" style="61" hidden="1" customWidth="1"/>
    <col min="2588" max="2593" width="10.375" style="61" customWidth="1"/>
    <col min="2594" max="2816" width="9" style="61"/>
    <col min="2817" max="2817" width="46.625" style="61" customWidth="1"/>
    <col min="2818" max="2818" width="11.75" style="61" customWidth="1"/>
    <col min="2819" max="2829" width="10.375" style="61" customWidth="1"/>
    <col min="2830" max="2833" width="0" style="61" hidden="1" customWidth="1"/>
    <col min="2834" max="2834" width="10.375" style="61" customWidth="1"/>
    <col min="2835" max="2838" width="0" style="61" hidden="1" customWidth="1"/>
    <col min="2839" max="2839" width="10.375" style="61" customWidth="1"/>
    <col min="2840" max="2843" width="0" style="61" hidden="1" customWidth="1"/>
    <col min="2844" max="2849" width="10.375" style="61" customWidth="1"/>
    <col min="2850" max="3072" width="9" style="61"/>
    <col min="3073" max="3073" width="46.625" style="61" customWidth="1"/>
    <col min="3074" max="3074" width="11.75" style="61" customWidth="1"/>
    <col min="3075" max="3085" width="10.375" style="61" customWidth="1"/>
    <col min="3086" max="3089" width="0" style="61" hidden="1" customWidth="1"/>
    <col min="3090" max="3090" width="10.375" style="61" customWidth="1"/>
    <col min="3091" max="3094" width="0" style="61" hidden="1" customWidth="1"/>
    <col min="3095" max="3095" width="10.375" style="61" customWidth="1"/>
    <col min="3096" max="3099" width="0" style="61" hidden="1" customWidth="1"/>
    <col min="3100" max="3105" width="10.375" style="61" customWidth="1"/>
    <col min="3106" max="3328" width="9" style="61"/>
    <col min="3329" max="3329" width="46.625" style="61" customWidth="1"/>
    <col min="3330" max="3330" width="11.75" style="61" customWidth="1"/>
    <col min="3331" max="3341" width="10.375" style="61" customWidth="1"/>
    <col min="3342" max="3345" width="0" style="61" hidden="1" customWidth="1"/>
    <col min="3346" max="3346" width="10.375" style="61" customWidth="1"/>
    <col min="3347" max="3350" width="0" style="61" hidden="1" customWidth="1"/>
    <col min="3351" max="3351" width="10.375" style="61" customWidth="1"/>
    <col min="3352" max="3355" width="0" style="61" hidden="1" customWidth="1"/>
    <col min="3356" max="3361" width="10.375" style="61" customWidth="1"/>
    <col min="3362" max="3584" width="9" style="61"/>
    <col min="3585" max="3585" width="46.625" style="61" customWidth="1"/>
    <col min="3586" max="3586" width="11.75" style="61" customWidth="1"/>
    <col min="3587" max="3597" width="10.375" style="61" customWidth="1"/>
    <col min="3598" max="3601" width="0" style="61" hidden="1" customWidth="1"/>
    <col min="3602" max="3602" width="10.375" style="61" customWidth="1"/>
    <col min="3603" max="3606" width="0" style="61" hidden="1" customWidth="1"/>
    <col min="3607" max="3607" width="10.375" style="61" customWidth="1"/>
    <col min="3608" max="3611" width="0" style="61" hidden="1" customWidth="1"/>
    <col min="3612" max="3617" width="10.375" style="61" customWidth="1"/>
    <col min="3618" max="3840" width="9" style="61"/>
    <col min="3841" max="3841" width="46.625" style="61" customWidth="1"/>
    <col min="3842" max="3842" width="11.75" style="61" customWidth="1"/>
    <col min="3843" max="3853" width="10.375" style="61" customWidth="1"/>
    <col min="3854" max="3857" width="0" style="61" hidden="1" customWidth="1"/>
    <col min="3858" max="3858" width="10.375" style="61" customWidth="1"/>
    <col min="3859" max="3862" width="0" style="61" hidden="1" customWidth="1"/>
    <col min="3863" max="3863" width="10.375" style="61" customWidth="1"/>
    <col min="3864" max="3867" width="0" style="61" hidden="1" customWidth="1"/>
    <col min="3868" max="3873" width="10.375" style="61" customWidth="1"/>
    <col min="3874" max="4096" width="9" style="61"/>
    <col min="4097" max="4097" width="46.625" style="61" customWidth="1"/>
    <col min="4098" max="4098" width="11.75" style="61" customWidth="1"/>
    <col min="4099" max="4109" width="10.375" style="61" customWidth="1"/>
    <col min="4110" max="4113" width="0" style="61" hidden="1" customWidth="1"/>
    <col min="4114" max="4114" width="10.375" style="61" customWidth="1"/>
    <col min="4115" max="4118" width="0" style="61" hidden="1" customWidth="1"/>
    <col min="4119" max="4119" width="10.375" style="61" customWidth="1"/>
    <col min="4120" max="4123" width="0" style="61" hidden="1" customWidth="1"/>
    <col min="4124" max="4129" width="10.375" style="61" customWidth="1"/>
    <col min="4130" max="4352" width="9" style="61"/>
    <col min="4353" max="4353" width="46.625" style="61" customWidth="1"/>
    <col min="4354" max="4354" width="11.75" style="61" customWidth="1"/>
    <col min="4355" max="4365" width="10.375" style="61" customWidth="1"/>
    <col min="4366" max="4369" width="0" style="61" hidden="1" customWidth="1"/>
    <col min="4370" max="4370" width="10.375" style="61" customWidth="1"/>
    <col min="4371" max="4374" width="0" style="61" hidden="1" customWidth="1"/>
    <col min="4375" max="4375" width="10.375" style="61" customWidth="1"/>
    <col min="4376" max="4379" width="0" style="61" hidden="1" customWidth="1"/>
    <col min="4380" max="4385" width="10.375" style="61" customWidth="1"/>
    <col min="4386" max="4608" width="9" style="61"/>
    <col min="4609" max="4609" width="46.625" style="61" customWidth="1"/>
    <col min="4610" max="4610" width="11.75" style="61" customWidth="1"/>
    <col min="4611" max="4621" width="10.375" style="61" customWidth="1"/>
    <col min="4622" max="4625" width="0" style="61" hidden="1" customWidth="1"/>
    <col min="4626" max="4626" width="10.375" style="61" customWidth="1"/>
    <col min="4627" max="4630" width="0" style="61" hidden="1" customWidth="1"/>
    <col min="4631" max="4631" width="10.375" style="61" customWidth="1"/>
    <col min="4632" max="4635" width="0" style="61" hidden="1" customWidth="1"/>
    <col min="4636" max="4641" width="10.375" style="61" customWidth="1"/>
    <col min="4642" max="4864" width="9" style="61"/>
    <col min="4865" max="4865" width="46.625" style="61" customWidth="1"/>
    <col min="4866" max="4866" width="11.75" style="61" customWidth="1"/>
    <col min="4867" max="4877" width="10.375" style="61" customWidth="1"/>
    <col min="4878" max="4881" width="0" style="61" hidden="1" customWidth="1"/>
    <col min="4882" max="4882" width="10.375" style="61" customWidth="1"/>
    <col min="4883" max="4886" width="0" style="61" hidden="1" customWidth="1"/>
    <col min="4887" max="4887" width="10.375" style="61" customWidth="1"/>
    <col min="4888" max="4891" width="0" style="61" hidden="1" customWidth="1"/>
    <col min="4892" max="4897" width="10.375" style="61" customWidth="1"/>
    <col min="4898" max="5120" width="9" style="61"/>
    <col min="5121" max="5121" width="46.625" style="61" customWidth="1"/>
    <col min="5122" max="5122" width="11.75" style="61" customWidth="1"/>
    <col min="5123" max="5133" width="10.375" style="61" customWidth="1"/>
    <col min="5134" max="5137" width="0" style="61" hidden="1" customWidth="1"/>
    <col min="5138" max="5138" width="10.375" style="61" customWidth="1"/>
    <col min="5139" max="5142" width="0" style="61" hidden="1" customWidth="1"/>
    <col min="5143" max="5143" width="10.375" style="61" customWidth="1"/>
    <col min="5144" max="5147" width="0" style="61" hidden="1" customWidth="1"/>
    <col min="5148" max="5153" width="10.375" style="61" customWidth="1"/>
    <col min="5154" max="5376" width="9" style="61"/>
    <col min="5377" max="5377" width="46.625" style="61" customWidth="1"/>
    <col min="5378" max="5378" width="11.75" style="61" customWidth="1"/>
    <col min="5379" max="5389" width="10.375" style="61" customWidth="1"/>
    <col min="5390" max="5393" width="0" style="61" hidden="1" customWidth="1"/>
    <col min="5394" max="5394" width="10.375" style="61" customWidth="1"/>
    <col min="5395" max="5398" width="0" style="61" hidden="1" customWidth="1"/>
    <col min="5399" max="5399" width="10.375" style="61" customWidth="1"/>
    <col min="5400" max="5403" width="0" style="61" hidden="1" customWidth="1"/>
    <col min="5404" max="5409" width="10.375" style="61" customWidth="1"/>
    <col min="5410" max="5632" width="9" style="61"/>
    <col min="5633" max="5633" width="46.625" style="61" customWidth="1"/>
    <col min="5634" max="5634" width="11.75" style="61" customWidth="1"/>
    <col min="5635" max="5645" width="10.375" style="61" customWidth="1"/>
    <col min="5646" max="5649" width="0" style="61" hidden="1" customWidth="1"/>
    <col min="5650" max="5650" width="10.375" style="61" customWidth="1"/>
    <col min="5651" max="5654" width="0" style="61" hidden="1" customWidth="1"/>
    <col min="5655" max="5655" width="10.375" style="61" customWidth="1"/>
    <col min="5656" max="5659" width="0" style="61" hidden="1" customWidth="1"/>
    <col min="5660" max="5665" width="10.375" style="61" customWidth="1"/>
    <col min="5666" max="5888" width="9" style="61"/>
    <col min="5889" max="5889" width="46.625" style="61" customWidth="1"/>
    <col min="5890" max="5890" width="11.75" style="61" customWidth="1"/>
    <col min="5891" max="5901" width="10.375" style="61" customWidth="1"/>
    <col min="5902" max="5905" width="0" style="61" hidden="1" customWidth="1"/>
    <col min="5906" max="5906" width="10.375" style="61" customWidth="1"/>
    <col min="5907" max="5910" width="0" style="61" hidden="1" customWidth="1"/>
    <col min="5911" max="5911" width="10.375" style="61" customWidth="1"/>
    <col min="5912" max="5915" width="0" style="61" hidden="1" customWidth="1"/>
    <col min="5916" max="5921" width="10.375" style="61" customWidth="1"/>
    <col min="5922" max="6144" width="9" style="61"/>
    <col min="6145" max="6145" width="46.625" style="61" customWidth="1"/>
    <col min="6146" max="6146" width="11.75" style="61" customWidth="1"/>
    <col min="6147" max="6157" width="10.375" style="61" customWidth="1"/>
    <col min="6158" max="6161" width="0" style="61" hidden="1" customWidth="1"/>
    <col min="6162" max="6162" width="10.375" style="61" customWidth="1"/>
    <col min="6163" max="6166" width="0" style="61" hidden="1" customWidth="1"/>
    <col min="6167" max="6167" width="10.375" style="61" customWidth="1"/>
    <col min="6168" max="6171" width="0" style="61" hidden="1" customWidth="1"/>
    <col min="6172" max="6177" width="10.375" style="61" customWidth="1"/>
    <col min="6178" max="6400" width="9" style="61"/>
    <col min="6401" max="6401" width="46.625" style="61" customWidth="1"/>
    <col min="6402" max="6402" width="11.75" style="61" customWidth="1"/>
    <col min="6403" max="6413" width="10.375" style="61" customWidth="1"/>
    <col min="6414" max="6417" width="0" style="61" hidden="1" customWidth="1"/>
    <col min="6418" max="6418" width="10.375" style="61" customWidth="1"/>
    <col min="6419" max="6422" width="0" style="61" hidden="1" customWidth="1"/>
    <col min="6423" max="6423" width="10.375" style="61" customWidth="1"/>
    <col min="6424" max="6427" width="0" style="61" hidden="1" customWidth="1"/>
    <col min="6428" max="6433" width="10.375" style="61" customWidth="1"/>
    <col min="6434" max="6656" width="9" style="61"/>
    <col min="6657" max="6657" width="46.625" style="61" customWidth="1"/>
    <col min="6658" max="6658" width="11.75" style="61" customWidth="1"/>
    <col min="6659" max="6669" width="10.375" style="61" customWidth="1"/>
    <col min="6670" max="6673" width="0" style="61" hidden="1" customWidth="1"/>
    <col min="6674" max="6674" width="10.375" style="61" customWidth="1"/>
    <col min="6675" max="6678" width="0" style="61" hidden="1" customWidth="1"/>
    <col min="6679" max="6679" width="10.375" style="61" customWidth="1"/>
    <col min="6680" max="6683" width="0" style="61" hidden="1" customWidth="1"/>
    <col min="6684" max="6689" width="10.375" style="61" customWidth="1"/>
    <col min="6690" max="6912" width="9" style="61"/>
    <col min="6913" max="6913" width="46.625" style="61" customWidth="1"/>
    <col min="6914" max="6914" width="11.75" style="61" customWidth="1"/>
    <col min="6915" max="6925" width="10.375" style="61" customWidth="1"/>
    <col min="6926" max="6929" width="0" style="61" hidden="1" customWidth="1"/>
    <col min="6930" max="6930" width="10.375" style="61" customWidth="1"/>
    <col min="6931" max="6934" width="0" style="61" hidden="1" customWidth="1"/>
    <col min="6935" max="6935" width="10.375" style="61" customWidth="1"/>
    <col min="6936" max="6939" width="0" style="61" hidden="1" customWidth="1"/>
    <col min="6940" max="6945" width="10.375" style="61" customWidth="1"/>
    <col min="6946" max="7168" width="9" style="61"/>
    <col min="7169" max="7169" width="46.625" style="61" customWidth="1"/>
    <col min="7170" max="7170" width="11.75" style="61" customWidth="1"/>
    <col min="7171" max="7181" width="10.375" style="61" customWidth="1"/>
    <col min="7182" max="7185" width="0" style="61" hidden="1" customWidth="1"/>
    <col min="7186" max="7186" width="10.375" style="61" customWidth="1"/>
    <col min="7187" max="7190" width="0" style="61" hidden="1" customWidth="1"/>
    <col min="7191" max="7191" width="10.375" style="61" customWidth="1"/>
    <col min="7192" max="7195" width="0" style="61" hidden="1" customWidth="1"/>
    <col min="7196" max="7201" width="10.375" style="61" customWidth="1"/>
    <col min="7202" max="7424" width="9" style="61"/>
    <col min="7425" max="7425" width="46.625" style="61" customWidth="1"/>
    <col min="7426" max="7426" width="11.75" style="61" customWidth="1"/>
    <col min="7427" max="7437" width="10.375" style="61" customWidth="1"/>
    <col min="7438" max="7441" width="0" style="61" hidden="1" customWidth="1"/>
    <col min="7442" max="7442" width="10.375" style="61" customWidth="1"/>
    <col min="7443" max="7446" width="0" style="61" hidden="1" customWidth="1"/>
    <col min="7447" max="7447" width="10.375" style="61" customWidth="1"/>
    <col min="7448" max="7451" width="0" style="61" hidden="1" customWidth="1"/>
    <col min="7452" max="7457" width="10.375" style="61" customWidth="1"/>
    <col min="7458" max="7680" width="9" style="61"/>
    <col min="7681" max="7681" width="46.625" style="61" customWidth="1"/>
    <col min="7682" max="7682" width="11.75" style="61" customWidth="1"/>
    <col min="7683" max="7693" width="10.375" style="61" customWidth="1"/>
    <col min="7694" max="7697" width="0" style="61" hidden="1" customWidth="1"/>
    <col min="7698" max="7698" width="10.375" style="61" customWidth="1"/>
    <col min="7699" max="7702" width="0" style="61" hidden="1" customWidth="1"/>
    <col min="7703" max="7703" width="10.375" style="61" customWidth="1"/>
    <col min="7704" max="7707" width="0" style="61" hidden="1" customWidth="1"/>
    <col min="7708" max="7713" width="10.375" style="61" customWidth="1"/>
    <col min="7714" max="7936" width="9" style="61"/>
    <col min="7937" max="7937" width="46.625" style="61" customWidth="1"/>
    <col min="7938" max="7938" width="11.75" style="61" customWidth="1"/>
    <col min="7939" max="7949" width="10.375" style="61" customWidth="1"/>
    <col min="7950" max="7953" width="0" style="61" hidden="1" customWidth="1"/>
    <col min="7954" max="7954" width="10.375" style="61" customWidth="1"/>
    <col min="7955" max="7958" width="0" style="61" hidden="1" customWidth="1"/>
    <col min="7959" max="7959" width="10.375" style="61" customWidth="1"/>
    <col min="7960" max="7963" width="0" style="61" hidden="1" customWidth="1"/>
    <col min="7964" max="7969" width="10.375" style="61" customWidth="1"/>
    <col min="7970" max="8192" width="9" style="61"/>
    <col min="8193" max="8193" width="46.625" style="61" customWidth="1"/>
    <col min="8194" max="8194" width="11.75" style="61" customWidth="1"/>
    <col min="8195" max="8205" width="10.375" style="61" customWidth="1"/>
    <col min="8206" max="8209" width="0" style="61" hidden="1" customWidth="1"/>
    <col min="8210" max="8210" width="10.375" style="61" customWidth="1"/>
    <col min="8211" max="8214" width="0" style="61" hidden="1" customWidth="1"/>
    <col min="8215" max="8215" width="10.375" style="61" customWidth="1"/>
    <col min="8216" max="8219" width="0" style="61" hidden="1" customWidth="1"/>
    <col min="8220" max="8225" width="10.375" style="61" customWidth="1"/>
    <col min="8226" max="8448" width="9" style="61"/>
    <col min="8449" max="8449" width="46.625" style="61" customWidth="1"/>
    <col min="8450" max="8450" width="11.75" style="61" customWidth="1"/>
    <col min="8451" max="8461" width="10.375" style="61" customWidth="1"/>
    <col min="8462" max="8465" width="0" style="61" hidden="1" customWidth="1"/>
    <col min="8466" max="8466" width="10.375" style="61" customWidth="1"/>
    <col min="8467" max="8470" width="0" style="61" hidden="1" customWidth="1"/>
    <col min="8471" max="8471" width="10.375" style="61" customWidth="1"/>
    <col min="8472" max="8475" width="0" style="61" hidden="1" customWidth="1"/>
    <col min="8476" max="8481" width="10.375" style="61" customWidth="1"/>
    <col min="8482" max="8704" width="9" style="61"/>
    <col min="8705" max="8705" width="46.625" style="61" customWidth="1"/>
    <col min="8706" max="8706" width="11.75" style="61" customWidth="1"/>
    <col min="8707" max="8717" width="10.375" style="61" customWidth="1"/>
    <col min="8718" max="8721" width="0" style="61" hidden="1" customWidth="1"/>
    <col min="8722" max="8722" width="10.375" style="61" customWidth="1"/>
    <col min="8723" max="8726" width="0" style="61" hidden="1" customWidth="1"/>
    <col min="8727" max="8727" width="10.375" style="61" customWidth="1"/>
    <col min="8728" max="8731" width="0" style="61" hidden="1" customWidth="1"/>
    <col min="8732" max="8737" width="10.375" style="61" customWidth="1"/>
    <col min="8738" max="8960" width="9" style="61"/>
    <col min="8961" max="8961" width="46.625" style="61" customWidth="1"/>
    <col min="8962" max="8962" width="11.75" style="61" customWidth="1"/>
    <col min="8963" max="8973" width="10.375" style="61" customWidth="1"/>
    <col min="8974" max="8977" width="0" style="61" hidden="1" customWidth="1"/>
    <col min="8978" max="8978" width="10.375" style="61" customWidth="1"/>
    <col min="8979" max="8982" width="0" style="61" hidden="1" customWidth="1"/>
    <col min="8983" max="8983" width="10.375" style="61" customWidth="1"/>
    <col min="8984" max="8987" width="0" style="61" hidden="1" customWidth="1"/>
    <col min="8988" max="8993" width="10.375" style="61" customWidth="1"/>
    <col min="8994" max="9216" width="9" style="61"/>
    <col min="9217" max="9217" width="46.625" style="61" customWidth="1"/>
    <col min="9218" max="9218" width="11.75" style="61" customWidth="1"/>
    <col min="9219" max="9229" width="10.375" style="61" customWidth="1"/>
    <col min="9230" max="9233" width="0" style="61" hidden="1" customWidth="1"/>
    <col min="9234" max="9234" width="10.375" style="61" customWidth="1"/>
    <col min="9235" max="9238" width="0" style="61" hidden="1" customWidth="1"/>
    <col min="9239" max="9239" width="10.375" style="61" customWidth="1"/>
    <col min="9240" max="9243" width="0" style="61" hidden="1" customWidth="1"/>
    <col min="9244" max="9249" width="10.375" style="61" customWidth="1"/>
    <col min="9250" max="9472" width="9" style="61"/>
    <col min="9473" max="9473" width="46.625" style="61" customWidth="1"/>
    <col min="9474" max="9474" width="11.75" style="61" customWidth="1"/>
    <col min="9475" max="9485" width="10.375" style="61" customWidth="1"/>
    <col min="9486" max="9489" width="0" style="61" hidden="1" customWidth="1"/>
    <col min="9490" max="9490" width="10.375" style="61" customWidth="1"/>
    <col min="9491" max="9494" width="0" style="61" hidden="1" customWidth="1"/>
    <col min="9495" max="9495" width="10.375" style="61" customWidth="1"/>
    <col min="9496" max="9499" width="0" style="61" hidden="1" customWidth="1"/>
    <col min="9500" max="9505" width="10.375" style="61" customWidth="1"/>
    <col min="9506" max="9728" width="9" style="61"/>
    <col min="9729" max="9729" width="46.625" style="61" customWidth="1"/>
    <col min="9730" max="9730" width="11.75" style="61" customWidth="1"/>
    <col min="9731" max="9741" width="10.375" style="61" customWidth="1"/>
    <col min="9742" max="9745" width="0" style="61" hidden="1" customWidth="1"/>
    <col min="9746" max="9746" width="10.375" style="61" customWidth="1"/>
    <col min="9747" max="9750" width="0" style="61" hidden="1" customWidth="1"/>
    <col min="9751" max="9751" width="10.375" style="61" customWidth="1"/>
    <col min="9752" max="9755" width="0" style="61" hidden="1" customWidth="1"/>
    <col min="9756" max="9761" width="10.375" style="61" customWidth="1"/>
    <col min="9762" max="9984" width="9" style="61"/>
    <col min="9985" max="9985" width="46.625" style="61" customWidth="1"/>
    <col min="9986" max="9986" width="11.75" style="61" customWidth="1"/>
    <col min="9987" max="9997" width="10.375" style="61" customWidth="1"/>
    <col min="9998" max="10001" width="0" style="61" hidden="1" customWidth="1"/>
    <col min="10002" max="10002" width="10.375" style="61" customWidth="1"/>
    <col min="10003" max="10006" width="0" style="61" hidden="1" customWidth="1"/>
    <col min="10007" max="10007" width="10.375" style="61" customWidth="1"/>
    <col min="10008" max="10011" width="0" style="61" hidden="1" customWidth="1"/>
    <col min="10012" max="10017" width="10.375" style="61" customWidth="1"/>
    <col min="10018" max="10240" width="9" style="61"/>
    <col min="10241" max="10241" width="46.625" style="61" customWidth="1"/>
    <col min="10242" max="10242" width="11.75" style="61" customWidth="1"/>
    <col min="10243" max="10253" width="10.375" style="61" customWidth="1"/>
    <col min="10254" max="10257" width="0" style="61" hidden="1" customWidth="1"/>
    <col min="10258" max="10258" width="10.375" style="61" customWidth="1"/>
    <col min="10259" max="10262" width="0" style="61" hidden="1" customWidth="1"/>
    <col min="10263" max="10263" width="10.375" style="61" customWidth="1"/>
    <col min="10264" max="10267" width="0" style="61" hidden="1" customWidth="1"/>
    <col min="10268" max="10273" width="10.375" style="61" customWidth="1"/>
    <col min="10274" max="10496" width="9" style="61"/>
    <col min="10497" max="10497" width="46.625" style="61" customWidth="1"/>
    <col min="10498" max="10498" width="11.75" style="61" customWidth="1"/>
    <col min="10499" max="10509" width="10.375" style="61" customWidth="1"/>
    <col min="10510" max="10513" width="0" style="61" hidden="1" customWidth="1"/>
    <col min="10514" max="10514" width="10.375" style="61" customWidth="1"/>
    <col min="10515" max="10518" width="0" style="61" hidden="1" customWidth="1"/>
    <col min="10519" max="10519" width="10.375" style="61" customWidth="1"/>
    <col min="10520" max="10523" width="0" style="61" hidden="1" customWidth="1"/>
    <col min="10524" max="10529" width="10.375" style="61" customWidth="1"/>
    <col min="10530" max="10752" width="9" style="61"/>
    <col min="10753" max="10753" width="46.625" style="61" customWidth="1"/>
    <col min="10754" max="10754" width="11.75" style="61" customWidth="1"/>
    <col min="10755" max="10765" width="10.375" style="61" customWidth="1"/>
    <col min="10766" max="10769" width="0" style="61" hidden="1" customWidth="1"/>
    <col min="10770" max="10770" width="10.375" style="61" customWidth="1"/>
    <col min="10771" max="10774" width="0" style="61" hidden="1" customWidth="1"/>
    <col min="10775" max="10775" width="10.375" style="61" customWidth="1"/>
    <col min="10776" max="10779" width="0" style="61" hidden="1" customWidth="1"/>
    <col min="10780" max="10785" width="10.375" style="61" customWidth="1"/>
    <col min="10786" max="11008" width="9" style="61"/>
    <col min="11009" max="11009" width="46.625" style="61" customWidth="1"/>
    <col min="11010" max="11010" width="11.75" style="61" customWidth="1"/>
    <col min="11011" max="11021" width="10.375" style="61" customWidth="1"/>
    <col min="11022" max="11025" width="0" style="61" hidden="1" customWidth="1"/>
    <col min="11026" max="11026" width="10.375" style="61" customWidth="1"/>
    <col min="11027" max="11030" width="0" style="61" hidden="1" customWidth="1"/>
    <col min="11031" max="11031" width="10.375" style="61" customWidth="1"/>
    <col min="11032" max="11035" width="0" style="61" hidden="1" customWidth="1"/>
    <col min="11036" max="11041" width="10.375" style="61" customWidth="1"/>
    <col min="11042" max="11264" width="9" style="61"/>
    <col min="11265" max="11265" width="46.625" style="61" customWidth="1"/>
    <col min="11266" max="11266" width="11.75" style="61" customWidth="1"/>
    <col min="11267" max="11277" width="10.375" style="61" customWidth="1"/>
    <col min="11278" max="11281" width="0" style="61" hidden="1" customWidth="1"/>
    <col min="11282" max="11282" width="10.375" style="61" customWidth="1"/>
    <col min="11283" max="11286" width="0" style="61" hidden="1" customWidth="1"/>
    <col min="11287" max="11287" width="10.375" style="61" customWidth="1"/>
    <col min="11288" max="11291" width="0" style="61" hidden="1" customWidth="1"/>
    <col min="11292" max="11297" width="10.375" style="61" customWidth="1"/>
    <col min="11298" max="11520" width="9" style="61"/>
    <col min="11521" max="11521" width="46.625" style="61" customWidth="1"/>
    <col min="11522" max="11522" width="11.75" style="61" customWidth="1"/>
    <col min="11523" max="11533" width="10.375" style="61" customWidth="1"/>
    <col min="11534" max="11537" width="0" style="61" hidden="1" customWidth="1"/>
    <col min="11538" max="11538" width="10.375" style="61" customWidth="1"/>
    <col min="11539" max="11542" width="0" style="61" hidden="1" customWidth="1"/>
    <col min="11543" max="11543" width="10.375" style="61" customWidth="1"/>
    <col min="11544" max="11547" width="0" style="61" hidden="1" customWidth="1"/>
    <col min="11548" max="11553" width="10.375" style="61" customWidth="1"/>
    <col min="11554" max="11776" width="9" style="61"/>
    <col min="11777" max="11777" width="46.625" style="61" customWidth="1"/>
    <col min="11778" max="11778" width="11.75" style="61" customWidth="1"/>
    <col min="11779" max="11789" width="10.375" style="61" customWidth="1"/>
    <col min="11790" max="11793" width="0" style="61" hidden="1" customWidth="1"/>
    <col min="11794" max="11794" width="10.375" style="61" customWidth="1"/>
    <col min="11795" max="11798" width="0" style="61" hidden="1" customWidth="1"/>
    <col min="11799" max="11799" width="10.375" style="61" customWidth="1"/>
    <col min="11800" max="11803" width="0" style="61" hidden="1" customWidth="1"/>
    <col min="11804" max="11809" width="10.375" style="61" customWidth="1"/>
    <col min="11810" max="12032" width="9" style="61"/>
    <col min="12033" max="12033" width="46.625" style="61" customWidth="1"/>
    <col min="12034" max="12034" width="11.75" style="61" customWidth="1"/>
    <col min="12035" max="12045" width="10.375" style="61" customWidth="1"/>
    <col min="12046" max="12049" width="0" style="61" hidden="1" customWidth="1"/>
    <col min="12050" max="12050" width="10.375" style="61" customWidth="1"/>
    <col min="12051" max="12054" width="0" style="61" hidden="1" customWidth="1"/>
    <col min="12055" max="12055" width="10.375" style="61" customWidth="1"/>
    <col min="12056" max="12059" width="0" style="61" hidden="1" customWidth="1"/>
    <col min="12060" max="12065" width="10.375" style="61" customWidth="1"/>
    <col min="12066" max="12288" width="9" style="61"/>
    <col min="12289" max="12289" width="46.625" style="61" customWidth="1"/>
    <col min="12290" max="12290" width="11.75" style="61" customWidth="1"/>
    <col min="12291" max="12301" width="10.375" style="61" customWidth="1"/>
    <col min="12302" max="12305" width="0" style="61" hidden="1" customWidth="1"/>
    <col min="12306" max="12306" width="10.375" style="61" customWidth="1"/>
    <col min="12307" max="12310" width="0" style="61" hidden="1" customWidth="1"/>
    <col min="12311" max="12311" width="10.375" style="61" customWidth="1"/>
    <col min="12312" max="12315" width="0" style="61" hidden="1" customWidth="1"/>
    <col min="12316" max="12321" width="10.375" style="61" customWidth="1"/>
    <col min="12322" max="12544" width="9" style="61"/>
    <col min="12545" max="12545" width="46.625" style="61" customWidth="1"/>
    <col min="12546" max="12546" width="11.75" style="61" customWidth="1"/>
    <col min="12547" max="12557" width="10.375" style="61" customWidth="1"/>
    <col min="12558" max="12561" width="0" style="61" hidden="1" customWidth="1"/>
    <col min="12562" max="12562" width="10.375" style="61" customWidth="1"/>
    <col min="12563" max="12566" width="0" style="61" hidden="1" customWidth="1"/>
    <col min="12567" max="12567" width="10.375" style="61" customWidth="1"/>
    <col min="12568" max="12571" width="0" style="61" hidden="1" customWidth="1"/>
    <col min="12572" max="12577" width="10.375" style="61" customWidth="1"/>
    <col min="12578" max="12800" width="9" style="61"/>
    <col min="12801" max="12801" width="46.625" style="61" customWidth="1"/>
    <col min="12802" max="12802" width="11.75" style="61" customWidth="1"/>
    <col min="12803" max="12813" width="10.375" style="61" customWidth="1"/>
    <col min="12814" max="12817" width="0" style="61" hidden="1" customWidth="1"/>
    <col min="12818" max="12818" width="10.375" style="61" customWidth="1"/>
    <col min="12819" max="12822" width="0" style="61" hidden="1" customWidth="1"/>
    <col min="12823" max="12823" width="10.375" style="61" customWidth="1"/>
    <col min="12824" max="12827" width="0" style="61" hidden="1" customWidth="1"/>
    <col min="12828" max="12833" width="10.375" style="61" customWidth="1"/>
    <col min="12834" max="13056" width="9" style="61"/>
    <col min="13057" max="13057" width="46.625" style="61" customWidth="1"/>
    <col min="13058" max="13058" width="11.75" style="61" customWidth="1"/>
    <col min="13059" max="13069" width="10.375" style="61" customWidth="1"/>
    <col min="13070" max="13073" width="0" style="61" hidden="1" customWidth="1"/>
    <col min="13074" max="13074" width="10.375" style="61" customWidth="1"/>
    <col min="13075" max="13078" width="0" style="61" hidden="1" customWidth="1"/>
    <col min="13079" max="13079" width="10.375" style="61" customWidth="1"/>
    <col min="13080" max="13083" width="0" style="61" hidden="1" customWidth="1"/>
    <col min="13084" max="13089" width="10.375" style="61" customWidth="1"/>
    <col min="13090" max="13312" width="9" style="61"/>
    <col min="13313" max="13313" width="46.625" style="61" customWidth="1"/>
    <col min="13314" max="13314" width="11.75" style="61" customWidth="1"/>
    <col min="13315" max="13325" width="10.375" style="61" customWidth="1"/>
    <col min="13326" max="13329" width="0" style="61" hidden="1" customWidth="1"/>
    <col min="13330" max="13330" width="10.375" style="61" customWidth="1"/>
    <col min="13331" max="13334" width="0" style="61" hidden="1" customWidth="1"/>
    <col min="13335" max="13335" width="10.375" style="61" customWidth="1"/>
    <col min="13336" max="13339" width="0" style="61" hidden="1" customWidth="1"/>
    <col min="13340" max="13345" width="10.375" style="61" customWidth="1"/>
    <col min="13346" max="13568" width="9" style="61"/>
    <col min="13569" max="13569" width="46.625" style="61" customWidth="1"/>
    <col min="13570" max="13570" width="11.75" style="61" customWidth="1"/>
    <col min="13571" max="13581" width="10.375" style="61" customWidth="1"/>
    <col min="13582" max="13585" width="0" style="61" hidden="1" customWidth="1"/>
    <col min="13586" max="13586" width="10.375" style="61" customWidth="1"/>
    <col min="13587" max="13590" width="0" style="61" hidden="1" customWidth="1"/>
    <col min="13591" max="13591" width="10.375" style="61" customWidth="1"/>
    <col min="13592" max="13595" width="0" style="61" hidden="1" customWidth="1"/>
    <col min="13596" max="13601" width="10.375" style="61" customWidth="1"/>
    <col min="13602" max="13824" width="9" style="61"/>
    <col min="13825" max="13825" width="46.625" style="61" customWidth="1"/>
    <col min="13826" max="13826" width="11.75" style="61" customWidth="1"/>
    <col min="13827" max="13837" width="10.375" style="61" customWidth="1"/>
    <col min="13838" max="13841" width="0" style="61" hidden="1" customWidth="1"/>
    <col min="13842" max="13842" width="10.375" style="61" customWidth="1"/>
    <col min="13843" max="13846" width="0" style="61" hidden="1" customWidth="1"/>
    <col min="13847" max="13847" width="10.375" style="61" customWidth="1"/>
    <col min="13848" max="13851" width="0" style="61" hidden="1" customWidth="1"/>
    <col min="13852" max="13857" width="10.375" style="61" customWidth="1"/>
    <col min="13858" max="14080" width="9" style="61"/>
    <col min="14081" max="14081" width="46.625" style="61" customWidth="1"/>
    <col min="14082" max="14082" width="11.75" style="61" customWidth="1"/>
    <col min="14083" max="14093" width="10.375" style="61" customWidth="1"/>
    <col min="14094" max="14097" width="0" style="61" hidden="1" customWidth="1"/>
    <col min="14098" max="14098" width="10.375" style="61" customWidth="1"/>
    <col min="14099" max="14102" width="0" style="61" hidden="1" customWidth="1"/>
    <col min="14103" max="14103" width="10.375" style="61" customWidth="1"/>
    <col min="14104" max="14107" width="0" style="61" hidden="1" customWidth="1"/>
    <col min="14108" max="14113" width="10.375" style="61" customWidth="1"/>
    <col min="14114" max="14336" width="9" style="61"/>
    <col min="14337" max="14337" width="46.625" style="61" customWidth="1"/>
    <col min="14338" max="14338" width="11.75" style="61" customWidth="1"/>
    <col min="14339" max="14349" width="10.375" style="61" customWidth="1"/>
    <col min="14350" max="14353" width="0" style="61" hidden="1" customWidth="1"/>
    <col min="14354" max="14354" width="10.375" style="61" customWidth="1"/>
    <col min="14355" max="14358" width="0" style="61" hidden="1" customWidth="1"/>
    <col min="14359" max="14359" width="10.375" style="61" customWidth="1"/>
    <col min="14360" max="14363" width="0" style="61" hidden="1" customWidth="1"/>
    <col min="14364" max="14369" width="10.375" style="61" customWidth="1"/>
    <col min="14370" max="14592" width="9" style="61"/>
    <col min="14593" max="14593" width="46.625" style="61" customWidth="1"/>
    <col min="14594" max="14594" width="11.75" style="61" customWidth="1"/>
    <col min="14595" max="14605" width="10.375" style="61" customWidth="1"/>
    <col min="14606" max="14609" width="0" style="61" hidden="1" customWidth="1"/>
    <col min="14610" max="14610" width="10.375" style="61" customWidth="1"/>
    <col min="14611" max="14614" width="0" style="61" hidden="1" customWidth="1"/>
    <col min="14615" max="14615" width="10.375" style="61" customWidth="1"/>
    <col min="14616" max="14619" width="0" style="61" hidden="1" customWidth="1"/>
    <col min="14620" max="14625" width="10.375" style="61" customWidth="1"/>
    <col min="14626" max="14848" width="9" style="61"/>
    <col min="14849" max="14849" width="46.625" style="61" customWidth="1"/>
    <col min="14850" max="14850" width="11.75" style="61" customWidth="1"/>
    <col min="14851" max="14861" width="10.375" style="61" customWidth="1"/>
    <col min="14862" max="14865" width="0" style="61" hidden="1" customWidth="1"/>
    <col min="14866" max="14866" width="10.375" style="61" customWidth="1"/>
    <col min="14867" max="14870" width="0" style="61" hidden="1" customWidth="1"/>
    <col min="14871" max="14871" width="10.375" style="61" customWidth="1"/>
    <col min="14872" max="14875" width="0" style="61" hidden="1" customWidth="1"/>
    <col min="14876" max="14881" width="10.375" style="61" customWidth="1"/>
    <col min="14882" max="15104" width="9" style="61"/>
    <col min="15105" max="15105" width="46.625" style="61" customWidth="1"/>
    <col min="15106" max="15106" width="11.75" style="61" customWidth="1"/>
    <col min="15107" max="15117" width="10.375" style="61" customWidth="1"/>
    <col min="15118" max="15121" width="0" style="61" hidden="1" customWidth="1"/>
    <col min="15122" max="15122" width="10.375" style="61" customWidth="1"/>
    <col min="15123" max="15126" width="0" style="61" hidden="1" customWidth="1"/>
    <col min="15127" max="15127" width="10.375" style="61" customWidth="1"/>
    <col min="15128" max="15131" width="0" style="61" hidden="1" customWidth="1"/>
    <col min="15132" max="15137" width="10.375" style="61" customWidth="1"/>
    <col min="15138" max="15360" width="9" style="61"/>
    <col min="15361" max="15361" width="46.625" style="61" customWidth="1"/>
    <col min="15362" max="15362" width="11.75" style="61" customWidth="1"/>
    <col min="15363" max="15373" width="10.375" style="61" customWidth="1"/>
    <col min="15374" max="15377" width="0" style="61" hidden="1" customWidth="1"/>
    <col min="15378" max="15378" width="10.375" style="61" customWidth="1"/>
    <col min="15379" max="15382" width="0" style="61" hidden="1" customWidth="1"/>
    <col min="15383" max="15383" width="10.375" style="61" customWidth="1"/>
    <col min="15384" max="15387" width="0" style="61" hidden="1" customWidth="1"/>
    <col min="15388" max="15393" width="10.375" style="61" customWidth="1"/>
    <col min="15394" max="15616" width="9" style="61"/>
    <col min="15617" max="15617" width="46.625" style="61" customWidth="1"/>
    <col min="15618" max="15618" width="11.75" style="61" customWidth="1"/>
    <col min="15619" max="15629" width="10.375" style="61" customWidth="1"/>
    <col min="15630" max="15633" width="0" style="61" hidden="1" customWidth="1"/>
    <col min="15634" max="15634" width="10.375" style="61" customWidth="1"/>
    <col min="15635" max="15638" width="0" style="61" hidden="1" customWidth="1"/>
    <col min="15639" max="15639" width="10.375" style="61" customWidth="1"/>
    <col min="15640" max="15643" width="0" style="61" hidden="1" customWidth="1"/>
    <col min="15644" max="15649" width="10.375" style="61" customWidth="1"/>
    <col min="15650" max="15872" width="9" style="61"/>
    <col min="15873" max="15873" width="46.625" style="61" customWidth="1"/>
    <col min="15874" max="15874" width="11.75" style="61" customWidth="1"/>
    <col min="15875" max="15885" width="10.375" style="61" customWidth="1"/>
    <col min="15886" max="15889" width="0" style="61" hidden="1" customWidth="1"/>
    <col min="15890" max="15890" width="10.375" style="61" customWidth="1"/>
    <col min="15891" max="15894" width="0" style="61" hidden="1" customWidth="1"/>
    <col min="15895" max="15895" width="10.375" style="61" customWidth="1"/>
    <col min="15896" max="15899" width="0" style="61" hidden="1" customWidth="1"/>
    <col min="15900" max="15905" width="10.375" style="61" customWidth="1"/>
    <col min="15906" max="16128" width="9" style="61"/>
    <col min="16129" max="16129" width="46.625" style="61" customWidth="1"/>
    <col min="16130" max="16130" width="11.75" style="61" customWidth="1"/>
    <col min="16131" max="16141" width="10.375" style="61" customWidth="1"/>
    <col min="16142" max="16145" width="0" style="61" hidden="1" customWidth="1"/>
    <col min="16146" max="16146" width="10.375" style="61" customWidth="1"/>
    <col min="16147" max="16150" width="0" style="61" hidden="1" customWidth="1"/>
    <col min="16151" max="16151" width="10.375" style="61" customWidth="1"/>
    <col min="16152" max="16155" width="0" style="61" hidden="1" customWidth="1"/>
    <col min="16156" max="16161" width="10.375" style="61" customWidth="1"/>
    <col min="16162" max="16384" width="9" style="61"/>
  </cols>
  <sheetData>
    <row r="1" spans="1:34" ht="3" customHeight="1" x14ac:dyDescent="0.25"/>
    <row r="2" spans="1:34" ht="3" customHeight="1" x14ac:dyDescent="0.25">
      <c r="A2" s="62"/>
    </row>
    <row r="3" spans="1:34" x14ac:dyDescent="0.25">
      <c r="A3" s="303" t="s">
        <v>170</v>
      </c>
    </row>
    <row r="4" spans="1:34" x14ac:dyDescent="0.25">
      <c r="A4" s="63"/>
    </row>
    <row r="5" spans="1:34" x14ac:dyDescent="0.25">
      <c r="A5" s="64" t="s">
        <v>169</v>
      </c>
      <c r="B5" s="65"/>
      <c r="C5" s="66"/>
      <c r="D5" s="66">
        <f t="shared" ref="D5:AG5" si="0">+C5+1</f>
        <v>1</v>
      </c>
      <c r="E5" s="66">
        <f t="shared" si="0"/>
        <v>2</v>
      </c>
      <c r="F5" s="66">
        <f t="shared" si="0"/>
        <v>3</v>
      </c>
      <c r="G5" s="66">
        <f t="shared" si="0"/>
        <v>4</v>
      </c>
      <c r="H5" s="66">
        <f t="shared" si="0"/>
        <v>5</v>
      </c>
      <c r="I5" s="66">
        <f t="shared" si="0"/>
        <v>6</v>
      </c>
      <c r="J5" s="66">
        <f t="shared" si="0"/>
        <v>7</v>
      </c>
      <c r="K5" s="66">
        <f t="shared" si="0"/>
        <v>8</v>
      </c>
      <c r="L5" s="66">
        <f t="shared" si="0"/>
        <v>9</v>
      </c>
      <c r="M5" s="66">
        <f t="shared" si="0"/>
        <v>10</v>
      </c>
      <c r="N5" s="66">
        <f t="shared" si="0"/>
        <v>11</v>
      </c>
      <c r="O5" s="66">
        <f t="shared" si="0"/>
        <v>12</v>
      </c>
      <c r="P5" s="66">
        <f t="shared" si="0"/>
        <v>13</v>
      </c>
      <c r="Q5" s="66">
        <f t="shared" si="0"/>
        <v>14</v>
      </c>
      <c r="R5" s="66">
        <f t="shared" si="0"/>
        <v>15</v>
      </c>
      <c r="S5" s="66">
        <f t="shared" si="0"/>
        <v>16</v>
      </c>
      <c r="T5" s="66">
        <f t="shared" si="0"/>
        <v>17</v>
      </c>
      <c r="U5" s="66">
        <f t="shared" si="0"/>
        <v>18</v>
      </c>
      <c r="V5" s="66">
        <f t="shared" si="0"/>
        <v>19</v>
      </c>
      <c r="W5" s="66">
        <f t="shared" si="0"/>
        <v>20</v>
      </c>
      <c r="X5" s="66">
        <f t="shared" si="0"/>
        <v>21</v>
      </c>
      <c r="Y5" s="66">
        <f t="shared" si="0"/>
        <v>22</v>
      </c>
      <c r="Z5" s="66">
        <f t="shared" si="0"/>
        <v>23</v>
      </c>
      <c r="AA5" s="66">
        <f t="shared" si="0"/>
        <v>24</v>
      </c>
      <c r="AB5" s="66">
        <f t="shared" si="0"/>
        <v>25</v>
      </c>
      <c r="AC5" s="66">
        <f t="shared" si="0"/>
        <v>26</v>
      </c>
      <c r="AD5" s="66">
        <f t="shared" si="0"/>
        <v>27</v>
      </c>
      <c r="AE5" s="66">
        <f t="shared" si="0"/>
        <v>28</v>
      </c>
      <c r="AF5" s="66">
        <f t="shared" si="0"/>
        <v>29</v>
      </c>
      <c r="AG5" s="66">
        <f t="shared" si="0"/>
        <v>30</v>
      </c>
    </row>
    <row r="6" spans="1:34" s="69" customFormat="1" hidden="1" x14ac:dyDescent="0.25">
      <c r="A6" s="67"/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</row>
    <row r="7" spans="1:34" s="69" customFormat="1" x14ac:dyDescent="0.25">
      <c r="B7" s="70"/>
      <c r="C7" s="68"/>
      <c r="D7" s="68"/>
      <c r="E7" s="68"/>
      <c r="F7" s="72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8"/>
      <c r="AD7" s="68"/>
      <c r="AE7" s="68"/>
      <c r="AF7" s="68"/>
      <c r="AG7" s="68"/>
    </row>
    <row r="8" spans="1:34" s="69" customFormat="1" ht="15.75" customHeight="1" x14ac:dyDescent="0.25">
      <c r="A8" s="80"/>
      <c r="B8" s="79"/>
      <c r="C8" s="81"/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</row>
    <row r="9" spans="1:34" s="69" customFormat="1" ht="15" customHeight="1" x14ac:dyDescent="0.25">
      <c r="A9" s="78" t="s">
        <v>224</v>
      </c>
      <c r="B9" s="79" t="s">
        <v>3</v>
      </c>
      <c r="C9" s="72">
        <f>+C25</f>
        <v>160538.42877999996</v>
      </c>
      <c r="D9" s="83">
        <f>+C9</f>
        <v>160538.42877999996</v>
      </c>
      <c r="E9" s="83">
        <f>+D9+$C$9</f>
        <v>321076.85755999992</v>
      </c>
      <c r="F9" s="83">
        <f t="shared" ref="F9:AG9" si="1">+E9+$C$9</f>
        <v>481615.28633999988</v>
      </c>
      <c r="G9" s="83">
        <f t="shared" si="1"/>
        <v>642153.71511999983</v>
      </c>
      <c r="H9" s="83">
        <f>+G9+$C$9</f>
        <v>802692.14389999979</v>
      </c>
      <c r="I9" s="83">
        <f t="shared" si="1"/>
        <v>963230.57267999975</v>
      </c>
      <c r="J9" s="83">
        <f t="shared" si="1"/>
        <v>1123769.0014599997</v>
      </c>
      <c r="K9" s="83">
        <f t="shared" si="1"/>
        <v>1284307.4302399997</v>
      </c>
      <c r="L9" s="83">
        <f t="shared" si="1"/>
        <v>1444845.8590199996</v>
      </c>
      <c r="M9" s="83">
        <f t="shared" si="1"/>
        <v>1605384.2877999996</v>
      </c>
      <c r="N9" s="83">
        <f t="shared" si="1"/>
        <v>1765922.7165799995</v>
      </c>
      <c r="O9" s="83">
        <f t="shared" si="1"/>
        <v>1926461.1453599995</v>
      </c>
      <c r="P9" s="83">
        <f t="shared" si="1"/>
        <v>2086999.5741399995</v>
      </c>
      <c r="Q9" s="83">
        <f t="shared" si="1"/>
        <v>2247538.0029199994</v>
      </c>
      <c r="R9" s="83">
        <f t="shared" si="1"/>
        <v>2408076.4316999996</v>
      </c>
      <c r="S9" s="83">
        <f t="shared" si="1"/>
        <v>2568614.8604799993</v>
      </c>
      <c r="T9" s="83">
        <f t="shared" si="1"/>
        <v>2729153.2892599991</v>
      </c>
      <c r="U9" s="83">
        <f t="shared" si="1"/>
        <v>2889691.7180399988</v>
      </c>
      <c r="V9" s="83">
        <f t="shared" si="1"/>
        <v>3050230.1468199985</v>
      </c>
      <c r="W9" s="83">
        <f t="shared" si="1"/>
        <v>3210768.5755999982</v>
      </c>
      <c r="X9" s="83">
        <f t="shared" si="1"/>
        <v>3371307.004379998</v>
      </c>
      <c r="Y9" s="83">
        <f t="shared" si="1"/>
        <v>3531845.4331599977</v>
      </c>
      <c r="Z9" s="83">
        <f t="shared" si="1"/>
        <v>3692383.8619399974</v>
      </c>
      <c r="AA9" s="83">
        <f t="shared" si="1"/>
        <v>3852922.2907199971</v>
      </c>
      <c r="AB9" s="83">
        <f t="shared" si="1"/>
        <v>4013460.7194999969</v>
      </c>
      <c r="AC9" s="83">
        <f t="shared" si="1"/>
        <v>4173999.1482799966</v>
      </c>
      <c r="AD9" s="83">
        <f t="shared" si="1"/>
        <v>4334537.5770599963</v>
      </c>
      <c r="AE9" s="83">
        <f t="shared" si="1"/>
        <v>4495076.005839996</v>
      </c>
      <c r="AF9" s="83">
        <f t="shared" si="1"/>
        <v>4655614.4346199958</v>
      </c>
      <c r="AG9" s="83">
        <f t="shared" si="1"/>
        <v>4816152.8633999955</v>
      </c>
    </row>
    <row r="10" spans="1:34" s="69" customFormat="1" ht="15" hidden="1" customHeight="1" x14ac:dyDescent="0.25">
      <c r="A10" s="78"/>
      <c r="B10" s="79" t="s">
        <v>3</v>
      </c>
      <c r="C10" s="82"/>
      <c r="D10" s="83">
        <f>+C10</f>
        <v>0</v>
      </c>
      <c r="E10" s="83">
        <f>+D10+$C$10</f>
        <v>0</v>
      </c>
      <c r="F10" s="83">
        <f t="shared" ref="F10:AG10" si="2">+E10+$C$10</f>
        <v>0</v>
      </c>
      <c r="G10" s="83">
        <f t="shared" si="2"/>
        <v>0</v>
      </c>
      <c r="H10" s="83">
        <f t="shared" si="2"/>
        <v>0</v>
      </c>
      <c r="I10" s="83">
        <f t="shared" si="2"/>
        <v>0</v>
      </c>
      <c r="J10" s="83">
        <f t="shared" si="2"/>
        <v>0</v>
      </c>
      <c r="K10" s="83">
        <f t="shared" si="2"/>
        <v>0</v>
      </c>
      <c r="L10" s="83">
        <f t="shared" si="2"/>
        <v>0</v>
      </c>
      <c r="M10" s="83">
        <f t="shared" si="2"/>
        <v>0</v>
      </c>
      <c r="N10" s="83">
        <f t="shared" si="2"/>
        <v>0</v>
      </c>
      <c r="O10" s="83">
        <f t="shared" si="2"/>
        <v>0</v>
      </c>
      <c r="P10" s="83">
        <f t="shared" si="2"/>
        <v>0</v>
      </c>
      <c r="Q10" s="83">
        <f t="shared" si="2"/>
        <v>0</v>
      </c>
      <c r="R10" s="83">
        <f t="shared" si="2"/>
        <v>0</v>
      </c>
      <c r="S10" s="83">
        <f t="shared" si="2"/>
        <v>0</v>
      </c>
      <c r="T10" s="83">
        <f t="shared" si="2"/>
        <v>0</v>
      </c>
      <c r="U10" s="83">
        <f t="shared" si="2"/>
        <v>0</v>
      </c>
      <c r="V10" s="83">
        <f t="shared" si="2"/>
        <v>0</v>
      </c>
      <c r="W10" s="83">
        <f t="shared" si="2"/>
        <v>0</v>
      </c>
      <c r="X10" s="83">
        <f t="shared" si="2"/>
        <v>0</v>
      </c>
      <c r="Y10" s="83">
        <f t="shared" si="2"/>
        <v>0</v>
      </c>
      <c r="Z10" s="83">
        <f t="shared" si="2"/>
        <v>0</v>
      </c>
      <c r="AA10" s="83">
        <f t="shared" si="2"/>
        <v>0</v>
      </c>
      <c r="AB10" s="83">
        <f t="shared" si="2"/>
        <v>0</v>
      </c>
      <c r="AC10" s="83">
        <f t="shared" si="2"/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</row>
    <row r="11" spans="1:34" s="85" customFormat="1" ht="17.25" customHeight="1" x14ac:dyDescent="0.25">
      <c r="A11" s="73"/>
      <c r="B11" s="74"/>
      <c r="C11" s="76"/>
      <c r="D11" s="76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</row>
    <row r="12" spans="1:34" ht="16.5" thickBot="1" x14ac:dyDescent="0.3"/>
    <row r="13" spans="1:34" s="77" customFormat="1" ht="32.25" thickBot="1" x14ac:dyDescent="0.3">
      <c r="A13" s="73" t="s">
        <v>166</v>
      </c>
      <c r="B13" s="74" t="s">
        <v>2</v>
      </c>
      <c r="C13" s="75"/>
      <c r="D13" s="76">
        <f>+D10+D9</f>
        <v>160538.42877999996</v>
      </c>
      <c r="E13" s="76">
        <f>+E10+E9</f>
        <v>321076.85755999992</v>
      </c>
      <c r="F13" s="76">
        <f t="shared" ref="F13:AG13" si="3">+F10+F9</f>
        <v>481615.28633999988</v>
      </c>
      <c r="G13" s="76">
        <f t="shared" si="3"/>
        <v>642153.71511999983</v>
      </c>
      <c r="H13" s="76">
        <f t="shared" si="3"/>
        <v>802692.14389999979</v>
      </c>
      <c r="I13" s="76">
        <f t="shared" si="3"/>
        <v>963230.57267999975</v>
      </c>
      <c r="J13" s="76">
        <f t="shared" si="3"/>
        <v>1123769.0014599997</v>
      </c>
      <c r="K13" s="76">
        <f t="shared" si="3"/>
        <v>1284307.4302399997</v>
      </c>
      <c r="L13" s="86">
        <f t="shared" si="3"/>
        <v>1444845.8590199996</v>
      </c>
      <c r="M13" s="87">
        <f t="shared" si="3"/>
        <v>1605384.2877999996</v>
      </c>
      <c r="N13" s="88">
        <f t="shared" si="3"/>
        <v>1765922.7165799995</v>
      </c>
      <c r="O13" s="76">
        <f t="shared" si="3"/>
        <v>1926461.1453599995</v>
      </c>
      <c r="P13" s="76">
        <f t="shared" si="3"/>
        <v>2086999.5741399995</v>
      </c>
      <c r="Q13" s="76">
        <f t="shared" si="3"/>
        <v>2247538.0029199994</v>
      </c>
      <c r="R13" s="76">
        <f t="shared" si="3"/>
        <v>2408076.4316999996</v>
      </c>
      <c r="S13" s="76">
        <f t="shared" si="3"/>
        <v>2568614.8604799993</v>
      </c>
      <c r="T13" s="76">
        <f t="shared" si="3"/>
        <v>2729153.2892599991</v>
      </c>
      <c r="U13" s="76">
        <f t="shared" si="3"/>
        <v>2889691.7180399988</v>
      </c>
      <c r="V13" s="76">
        <f t="shared" si="3"/>
        <v>3050230.1468199985</v>
      </c>
      <c r="W13" s="76">
        <f t="shared" si="3"/>
        <v>3210768.5755999982</v>
      </c>
      <c r="X13" s="76">
        <f t="shared" si="3"/>
        <v>3371307.004379998</v>
      </c>
      <c r="Y13" s="76">
        <f t="shared" si="3"/>
        <v>3531845.4331599977</v>
      </c>
      <c r="Z13" s="76">
        <f t="shared" si="3"/>
        <v>3692383.8619399974</v>
      </c>
      <c r="AA13" s="76">
        <f t="shared" si="3"/>
        <v>3852922.2907199971</v>
      </c>
      <c r="AB13" s="76">
        <f t="shared" si="3"/>
        <v>4013460.7194999969</v>
      </c>
      <c r="AC13" s="76">
        <f t="shared" si="3"/>
        <v>4173999.1482799966</v>
      </c>
      <c r="AD13" s="76">
        <f t="shared" si="3"/>
        <v>4334537.5770599963</v>
      </c>
      <c r="AE13" s="76">
        <f t="shared" si="3"/>
        <v>4495076.005839996</v>
      </c>
      <c r="AF13" s="86">
        <f t="shared" si="3"/>
        <v>4655614.4346199958</v>
      </c>
      <c r="AG13" s="87">
        <f t="shared" si="3"/>
        <v>4816152.8633999955</v>
      </c>
    </row>
    <row r="14" spans="1:34" s="69" customFormat="1" x14ac:dyDescent="0.25">
      <c r="A14" s="89"/>
      <c r="B14" s="90"/>
      <c r="C14" s="91"/>
      <c r="D14" s="91"/>
      <c r="E14" s="92"/>
      <c r="F14" s="92"/>
      <c r="G14" s="92"/>
      <c r="H14" s="92"/>
      <c r="I14" s="92"/>
      <c r="J14" s="92"/>
      <c r="K14" s="92"/>
      <c r="L14" s="92"/>
      <c r="M14" s="92"/>
      <c r="N14" s="92"/>
      <c r="O14" s="92"/>
      <c r="P14" s="92"/>
      <c r="Q14" s="92"/>
      <c r="R14" s="92"/>
      <c r="S14" s="92"/>
      <c r="T14" s="92"/>
      <c r="U14" s="92"/>
      <c r="V14" s="92"/>
      <c r="W14" s="92"/>
      <c r="X14" s="92"/>
      <c r="Y14" s="92"/>
      <c r="Z14" s="92"/>
      <c r="AA14" s="92"/>
      <c r="AB14" s="92"/>
      <c r="AC14" s="92"/>
      <c r="AD14" s="92"/>
      <c r="AE14" s="92"/>
      <c r="AF14" s="92"/>
      <c r="AG14" s="92"/>
      <c r="AH14" s="92"/>
    </row>
    <row r="15" spans="1:34" s="69" customFormat="1" x14ac:dyDescent="0.25">
      <c r="B15" s="256" t="s">
        <v>173</v>
      </c>
      <c r="C15" s="414">
        <v>1.1299999999999999</v>
      </c>
      <c r="D15" s="276" t="s">
        <v>147</v>
      </c>
      <c r="E15" s="91"/>
      <c r="F15" s="91"/>
      <c r="G15" s="91"/>
      <c r="H15" s="91"/>
      <c r="I15" s="91"/>
      <c r="J15" s="91"/>
      <c r="K15" s="91"/>
      <c r="L15" s="91"/>
      <c r="M15" s="91"/>
    </row>
    <row r="16" spans="1:34" s="69" customFormat="1" ht="16.5" thickBot="1" x14ac:dyDescent="0.3">
      <c r="C16" s="404">
        <v>1.042</v>
      </c>
      <c r="D16" s="69" t="s">
        <v>172</v>
      </c>
      <c r="E16" s="91"/>
      <c r="F16" s="91"/>
      <c r="G16" s="91"/>
      <c r="H16" s="91"/>
      <c r="I16" s="91"/>
      <c r="J16" s="91"/>
      <c r="K16" s="91"/>
      <c r="L16" s="91"/>
      <c r="M16" s="91"/>
    </row>
    <row r="17" spans="1:7" x14ac:dyDescent="0.25">
      <c r="B17" s="256" t="s">
        <v>174</v>
      </c>
      <c r="C17" s="405">
        <f>+C16*C15</f>
        <v>1.17746</v>
      </c>
      <c r="D17" s="276" t="s">
        <v>146</v>
      </c>
      <c r="G17" s="93"/>
    </row>
    <row r="18" spans="1:7" ht="47.25" x14ac:dyDescent="0.25">
      <c r="A18" s="412" t="s">
        <v>153</v>
      </c>
      <c r="B18" s="413" t="s">
        <v>175</v>
      </c>
      <c r="C18" s="413" t="s">
        <v>171</v>
      </c>
    </row>
    <row r="19" spans="1:7" ht="6.75" customHeight="1" x14ac:dyDescent="0.25">
      <c r="A19" s="406"/>
      <c r="B19" s="406"/>
      <c r="C19" s="406"/>
    </row>
    <row r="20" spans="1:7" x14ac:dyDescent="0.25">
      <c r="A20" s="407" t="str">
        <f>+'4_prioritate_1_pielikums'!D7</f>
        <v>Bēne</v>
      </c>
      <c r="B20" s="408">
        <f>+'4_prioritate_1_pielikums'!G7*1000</f>
        <v>23991</v>
      </c>
      <c r="C20" s="408">
        <f>+B20*$C$17</f>
        <v>28248.442859999999</v>
      </c>
    </row>
    <row r="21" spans="1:7" x14ac:dyDescent="0.25">
      <c r="A21" s="407" t="str">
        <f>+'4_prioritate_1_pielikums'!D8</f>
        <v>Līvbērze</v>
      </c>
      <c r="B21" s="408">
        <f>+'4_prioritate_1_pielikums'!G8*1000</f>
        <v>22065</v>
      </c>
      <c r="C21" s="408">
        <f>+B21*$C$17</f>
        <v>25980.654899999998</v>
      </c>
    </row>
    <row r="22" spans="1:7" x14ac:dyDescent="0.25">
      <c r="A22" s="407" t="str">
        <f>+'4_prioritate_1_pielikums'!D9</f>
        <v>Lociki</v>
      </c>
      <c r="B22" s="408">
        <f>+'4_prioritate_1_pielikums'!G9*1000</f>
        <v>61784</v>
      </c>
      <c r="C22" s="408">
        <f>+B22*$C$17</f>
        <v>72748.188639999993</v>
      </c>
    </row>
    <row r="23" spans="1:7" x14ac:dyDescent="0.25">
      <c r="A23" s="407" t="str">
        <f>+'4_prioritate_1_pielikums'!D10</f>
        <v>Skulte</v>
      </c>
      <c r="B23" s="408">
        <f>+'4_prioritate_1_pielikums'!G10*1000</f>
        <v>23368</v>
      </c>
      <c r="C23" s="408">
        <f>+B23*$C$17</f>
        <v>27514.885279999999</v>
      </c>
    </row>
    <row r="24" spans="1:7" x14ac:dyDescent="0.25">
      <c r="A24" s="407" t="str">
        <f>+'4_prioritate_1_pielikums'!D11</f>
        <v>Zemgale</v>
      </c>
      <c r="B24" s="408">
        <f>+'4_prioritate_1_pielikums'!G11*1000</f>
        <v>5135</v>
      </c>
      <c r="C24" s="408">
        <f>+B24*$C$17</f>
        <v>6046.2570999999998</v>
      </c>
    </row>
    <row r="25" spans="1:7" x14ac:dyDescent="0.25">
      <c r="A25" s="410"/>
      <c r="B25" s="411" t="s">
        <v>157</v>
      </c>
      <c r="C25" s="409">
        <f>SUM(C20:C24)</f>
        <v>160538.42877999996</v>
      </c>
    </row>
  </sheetData>
  <sheetProtection formatCells="0" formatColumns="0" formatRows="0" insertColumns="0" insertRows="0" insertHyperlinks="0" deleteColumns="0" deleteRows="0"/>
  <pageMargins left="0.47244094488188998" right="0.23622047244094499" top="1.02362204724409" bottom="0.98425196850393704" header="0.511811023622047" footer="0.511811023622047"/>
  <pageSetup paperSize="9" scale="55" pageOrder="overThenDown" orientation="landscape" r:id="rId1"/>
  <headerFooter alignWithMargins="0">
    <oddFooter>&amp;C&amp;A&amp;RLapa &amp;P no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24"/>
  <sheetViews>
    <sheetView view="pageBreakPreview" zoomScale="70" zoomScaleNormal="55" zoomScaleSheetLayoutView="70" workbookViewId="0">
      <selection activeCell="B3" sqref="B3"/>
    </sheetView>
  </sheetViews>
  <sheetFormatPr defaultRowHeight="15.75" x14ac:dyDescent="0.25"/>
  <cols>
    <col min="1" max="1" width="34.75" style="437" customWidth="1"/>
    <col min="2" max="2" width="16" style="437" customWidth="1"/>
    <col min="3" max="3" width="25.75" style="437" customWidth="1"/>
    <col min="4" max="4" width="23.75" style="437" customWidth="1"/>
    <col min="5" max="5" width="13.625" style="437" customWidth="1"/>
    <col min="6" max="6" width="17.25" style="437" customWidth="1"/>
    <col min="7" max="10" width="13.875" style="437" customWidth="1"/>
    <col min="11" max="11" width="14.625" style="437" customWidth="1"/>
    <col min="12" max="16384" width="9" style="437"/>
  </cols>
  <sheetData>
    <row r="2" spans="1:11" x14ac:dyDescent="0.25">
      <c r="A2" s="303" t="str">
        <f>+'4.Prioritāte-5_Pielikums_1d'!A3</f>
        <v>Ekonomisko ieguvumu aprēķins 4.prioritātei</v>
      </c>
    </row>
    <row r="3" spans="1:11" ht="16.5" thickBot="1" x14ac:dyDescent="0.3">
      <c r="B3" s="490" t="s">
        <v>226</v>
      </c>
    </row>
    <row r="4" spans="1:11" ht="16.5" thickBot="1" x14ac:dyDescent="0.3">
      <c r="G4" s="438" t="s">
        <v>115</v>
      </c>
      <c r="H4" s="438" t="s">
        <v>116</v>
      </c>
      <c r="I4" s="438" t="s">
        <v>117</v>
      </c>
      <c r="J4" s="438" t="s">
        <v>118</v>
      </c>
      <c r="K4" s="439" t="s">
        <v>119</v>
      </c>
    </row>
    <row r="5" spans="1:11" ht="16.5" thickBot="1" x14ac:dyDescent="0.3">
      <c r="A5" s="478" t="s">
        <v>177</v>
      </c>
      <c r="B5" s="479" t="s">
        <v>178</v>
      </c>
      <c r="C5" s="479" t="s">
        <v>179</v>
      </c>
      <c r="D5" s="479" t="s">
        <v>180</v>
      </c>
      <c r="E5" s="479" t="s">
        <v>181</v>
      </c>
      <c r="F5" s="480" t="s">
        <v>182</v>
      </c>
      <c r="G5" s="479">
        <v>17</v>
      </c>
      <c r="H5" s="479">
        <v>321</v>
      </c>
      <c r="I5" s="479">
        <v>31</v>
      </c>
      <c r="J5" s="479">
        <v>18</v>
      </c>
      <c r="K5" s="479">
        <v>10</v>
      </c>
    </row>
    <row r="6" spans="1:11" ht="54" customHeight="1" x14ac:dyDescent="0.25">
      <c r="A6" s="545" t="s">
        <v>183</v>
      </c>
      <c r="B6" s="440" t="s">
        <v>184</v>
      </c>
      <c r="C6" s="440" t="s">
        <v>185</v>
      </c>
      <c r="D6" s="441" t="s">
        <v>186</v>
      </c>
      <c r="E6" s="442" t="s">
        <v>225</v>
      </c>
      <c r="F6" s="443" t="s">
        <v>187</v>
      </c>
      <c r="G6" s="444">
        <v>42.2</v>
      </c>
      <c r="H6" s="444">
        <v>211</v>
      </c>
      <c r="I6" s="444">
        <v>126.6</v>
      </c>
      <c r="J6" s="444">
        <v>126.6</v>
      </c>
      <c r="K6" s="444">
        <v>126.6</v>
      </c>
    </row>
    <row r="7" spans="1:11" ht="69" customHeight="1" x14ac:dyDescent="0.25">
      <c r="A7" s="546"/>
      <c r="B7" s="445" t="s">
        <v>30</v>
      </c>
      <c r="C7" s="446" t="s">
        <v>188</v>
      </c>
      <c r="D7" s="447" t="s">
        <v>189</v>
      </c>
      <c r="E7" s="448" t="s">
        <v>190</v>
      </c>
      <c r="F7" s="447" t="s">
        <v>191</v>
      </c>
      <c r="G7" s="444">
        <v>97</v>
      </c>
      <c r="H7" s="444">
        <v>97</v>
      </c>
      <c r="I7" s="444">
        <v>97</v>
      </c>
      <c r="J7" s="444">
        <v>97</v>
      </c>
      <c r="K7" s="444">
        <v>97</v>
      </c>
    </row>
    <row r="8" spans="1:11" x14ac:dyDescent="0.25">
      <c r="A8" s="449"/>
      <c r="B8" s="450"/>
      <c r="C8" s="450"/>
      <c r="D8" s="450"/>
      <c r="E8" s="451"/>
      <c r="F8" s="450"/>
      <c r="G8" s="450"/>
      <c r="H8" s="450"/>
      <c r="I8" s="450"/>
      <c r="J8" s="450"/>
      <c r="K8" s="450"/>
    </row>
    <row r="9" spans="1:11" ht="90" customHeight="1" x14ac:dyDescent="0.25">
      <c r="A9" s="547" t="s">
        <v>192</v>
      </c>
      <c r="B9" s="549" t="s">
        <v>193</v>
      </c>
      <c r="C9" s="452" t="s">
        <v>194</v>
      </c>
      <c r="D9" s="453" t="s">
        <v>195</v>
      </c>
      <c r="E9" s="454" t="s">
        <v>196</v>
      </c>
      <c r="F9" s="452" t="s">
        <v>197</v>
      </c>
      <c r="G9" s="455">
        <v>24.429207161125319</v>
      </c>
      <c r="H9" s="455">
        <v>24.429207161125316</v>
      </c>
      <c r="I9" s="455">
        <v>24.429207161125316</v>
      </c>
      <c r="J9" s="455">
        <v>16.286138107416878</v>
      </c>
      <c r="K9" s="455">
        <v>24.429207161125316</v>
      </c>
    </row>
    <row r="10" spans="1:11" ht="63" x14ac:dyDescent="0.25">
      <c r="A10" s="548"/>
      <c r="B10" s="550"/>
      <c r="C10" s="456" t="s">
        <v>198</v>
      </c>
      <c r="D10" s="457" t="s">
        <v>199</v>
      </c>
      <c r="E10" s="458" t="s">
        <v>200</v>
      </c>
      <c r="F10" s="443" t="s">
        <v>201</v>
      </c>
      <c r="G10" s="444">
        <v>8100</v>
      </c>
      <c r="H10" s="444">
        <v>8100</v>
      </c>
      <c r="I10" s="444">
        <v>8100</v>
      </c>
      <c r="J10" s="444">
        <v>8100</v>
      </c>
      <c r="K10" s="444">
        <v>8100</v>
      </c>
    </row>
    <row r="11" spans="1:11" x14ac:dyDescent="0.25">
      <c r="A11" s="477"/>
      <c r="B11" s="450"/>
      <c r="C11" s="450"/>
      <c r="D11" s="450"/>
      <c r="E11" s="451"/>
      <c r="F11" s="450"/>
      <c r="G11" s="450"/>
      <c r="H11" s="450"/>
      <c r="I11" s="450"/>
      <c r="J11" s="450"/>
      <c r="K11" s="450"/>
    </row>
    <row r="12" spans="1:11" ht="48" thickBot="1" x14ac:dyDescent="0.3">
      <c r="A12" s="551" t="s">
        <v>202</v>
      </c>
      <c r="B12" s="552" t="s">
        <v>203</v>
      </c>
      <c r="C12" s="443" t="s">
        <v>204</v>
      </c>
      <c r="D12" s="459" t="s">
        <v>205</v>
      </c>
      <c r="E12" s="460" t="s">
        <v>206</v>
      </c>
      <c r="F12" s="443" t="s">
        <v>207</v>
      </c>
      <c r="G12" s="455">
        <v>4410.4605627198116</v>
      </c>
      <c r="H12" s="455">
        <v>4410.4605627198116</v>
      </c>
      <c r="I12" s="455">
        <v>6615.690844079717</v>
      </c>
      <c r="J12" s="455">
        <v>6615.690844079717</v>
      </c>
      <c r="K12" s="455">
        <v>6615.690844079717</v>
      </c>
    </row>
    <row r="13" spans="1:11" ht="48" thickBot="1" x14ac:dyDescent="0.3">
      <c r="A13" s="551"/>
      <c r="B13" s="552"/>
      <c r="C13" s="443" t="s">
        <v>208</v>
      </c>
      <c r="D13" s="459" t="s">
        <v>209</v>
      </c>
      <c r="E13" s="460" t="s">
        <v>206</v>
      </c>
      <c r="F13" s="443" t="s">
        <v>210</v>
      </c>
      <c r="G13" s="455">
        <v>18.456305385139743</v>
      </c>
      <c r="H13" s="455">
        <v>36.912610770279485</v>
      </c>
      <c r="I13" s="455">
        <v>27.684458077709614</v>
      </c>
      <c r="J13" s="455">
        <v>18.456305385139743</v>
      </c>
      <c r="K13" s="455">
        <v>18.456305385139743</v>
      </c>
    </row>
    <row r="14" spans="1:11" ht="48" thickBot="1" x14ac:dyDescent="0.3">
      <c r="A14" s="551"/>
      <c r="B14" s="552"/>
      <c r="C14" s="461" t="s">
        <v>211</v>
      </c>
      <c r="D14" s="462" t="s">
        <v>212</v>
      </c>
      <c r="E14" s="463" t="s">
        <v>206</v>
      </c>
      <c r="F14" s="464" t="s">
        <v>213</v>
      </c>
      <c r="G14" s="455">
        <v>313.66993963782687</v>
      </c>
      <c r="H14" s="455">
        <v>78.417484909456718</v>
      </c>
      <c r="I14" s="455">
        <v>156.83496981891344</v>
      </c>
      <c r="J14" s="455">
        <v>156.83496981891344</v>
      </c>
      <c r="K14" s="455">
        <v>78.417484909456718</v>
      </c>
    </row>
    <row r="15" spans="1:11" x14ac:dyDescent="0.25">
      <c r="A15" s="465"/>
      <c r="B15" s="466"/>
      <c r="C15" s="466"/>
      <c r="D15" s="466"/>
      <c r="E15" s="466"/>
      <c r="F15" s="467" t="s">
        <v>214</v>
      </c>
      <c r="G15" s="467">
        <f>SUM(G6:G14)</f>
        <v>13006.216014903905</v>
      </c>
      <c r="H15" s="467">
        <f t="shared" ref="H15:K15" si="0">SUM(H6:H14)</f>
        <v>12958.219865560673</v>
      </c>
      <c r="I15" s="467">
        <f t="shared" si="0"/>
        <v>15148.239479137465</v>
      </c>
      <c r="J15" s="467">
        <f t="shared" si="0"/>
        <v>15130.868257391186</v>
      </c>
      <c r="K15" s="467">
        <f t="shared" si="0"/>
        <v>15060.593841535438</v>
      </c>
    </row>
    <row r="16" spans="1:11" ht="16.5" thickBot="1" x14ac:dyDescent="0.3">
      <c r="A16" s="465"/>
      <c r="B16" s="468"/>
      <c r="C16" s="468"/>
      <c r="D16" s="468"/>
      <c r="E16" s="468"/>
      <c r="F16" s="469" t="s">
        <v>215</v>
      </c>
      <c r="G16" s="469">
        <f>G15*G5</f>
        <v>221105.67225336639</v>
      </c>
      <c r="H16" s="469">
        <f t="shared" ref="H16:K16" si="1">H15*H5</f>
        <v>4159588.5768449763</v>
      </c>
      <c r="I16" s="469">
        <f t="shared" si="1"/>
        <v>469595.4238532614</v>
      </c>
      <c r="J16" s="469">
        <f t="shared" si="1"/>
        <v>272355.62863304134</v>
      </c>
      <c r="K16" s="469">
        <f t="shared" si="1"/>
        <v>150605.93841535438</v>
      </c>
    </row>
    <row r="19" spans="6:11" x14ac:dyDescent="0.25">
      <c r="F19" s="470"/>
      <c r="G19" s="471" t="str">
        <f>+G4</f>
        <v>Bēne</v>
      </c>
      <c r="H19" s="471" t="str">
        <f t="shared" ref="H19:K20" si="2">+H4</f>
        <v>Līvbērze</v>
      </c>
      <c r="I19" s="471" t="str">
        <f t="shared" si="2"/>
        <v>Lociki</v>
      </c>
      <c r="J19" s="471" t="str">
        <f t="shared" si="2"/>
        <v>Skulte</v>
      </c>
      <c r="K19" s="471" t="str">
        <f t="shared" si="2"/>
        <v>Zemgale</v>
      </c>
    </row>
    <row r="20" spans="6:11" x14ac:dyDescent="0.25">
      <c r="F20" s="472" t="s">
        <v>216</v>
      </c>
      <c r="G20" s="473">
        <f>+G5</f>
        <v>17</v>
      </c>
      <c r="H20" s="473">
        <f t="shared" si="2"/>
        <v>321</v>
      </c>
      <c r="I20" s="473">
        <f t="shared" si="2"/>
        <v>31</v>
      </c>
      <c r="J20" s="473">
        <f t="shared" si="2"/>
        <v>18</v>
      </c>
      <c r="K20" s="473">
        <f t="shared" si="2"/>
        <v>10</v>
      </c>
    </row>
    <row r="21" spans="6:11" x14ac:dyDescent="0.25">
      <c r="F21" s="474" t="str">
        <f>+A6</f>
        <v>Apgādes pakalpojumi</v>
      </c>
      <c r="G21" s="475">
        <f>SUM(G6:G7)*G20</f>
        <v>2366.3999999999996</v>
      </c>
      <c r="H21" s="475">
        <f>SUM(H6:H7)*H20</f>
        <v>98868</v>
      </c>
      <c r="I21" s="475">
        <f t="shared" ref="I21:K21" si="3">SUM(I6:I7)*I20</f>
        <v>6931.5999999999995</v>
      </c>
      <c r="J21" s="475">
        <f t="shared" si="3"/>
        <v>4024.7999999999997</v>
      </c>
      <c r="K21" s="475">
        <f t="shared" si="3"/>
        <v>2236</v>
      </c>
    </row>
    <row r="22" spans="6:11" x14ac:dyDescent="0.25">
      <c r="F22" s="474" t="str">
        <f>+A9</f>
        <v>Regulējošie pakalpojumi</v>
      </c>
      <c r="G22" s="475">
        <f>SUM(G9:G10)*G20</f>
        <v>138115.29652173913</v>
      </c>
      <c r="H22" s="475">
        <f t="shared" ref="H22:K22" si="4">SUM(H9:H10)*H20</f>
        <v>2607941.7754987213</v>
      </c>
      <c r="I22" s="475">
        <f t="shared" si="4"/>
        <v>251857.30542199488</v>
      </c>
      <c r="J22" s="475">
        <f t="shared" si="4"/>
        <v>146093.1504859335</v>
      </c>
      <c r="K22" s="475">
        <f t="shared" si="4"/>
        <v>81244.292071611257</v>
      </c>
    </row>
    <row r="23" spans="6:11" x14ac:dyDescent="0.25">
      <c r="F23" s="474" t="str">
        <f>+A12</f>
        <v>Kultūras pakalpojumi</v>
      </c>
      <c r="G23" s="476">
        <f>SUM(G12:G14)*G20</f>
        <v>80623.97573162723</v>
      </c>
      <c r="H23" s="476">
        <f t="shared" ref="H23:K23" si="5">SUM(H12:H14)*H20</f>
        <v>1452778.801346255</v>
      </c>
      <c r="I23" s="476">
        <f t="shared" si="5"/>
        <v>210806.51843126654</v>
      </c>
      <c r="J23" s="476">
        <f t="shared" si="5"/>
        <v>122237.67814710786</v>
      </c>
      <c r="K23" s="476">
        <f t="shared" si="5"/>
        <v>67125.646343743138</v>
      </c>
    </row>
    <row r="24" spans="6:11" x14ac:dyDescent="0.25">
      <c r="F24" s="474" t="s">
        <v>217</v>
      </c>
      <c r="G24" s="476">
        <f>SUM(G21:G23)</f>
        <v>221105.67225336636</v>
      </c>
      <c r="H24" s="476">
        <f t="shared" ref="H24:K24" si="6">SUM(H21:H23)</f>
        <v>4159588.5768449763</v>
      </c>
      <c r="I24" s="476">
        <f t="shared" si="6"/>
        <v>469595.4238532614</v>
      </c>
      <c r="J24" s="476">
        <f t="shared" si="6"/>
        <v>272355.62863304134</v>
      </c>
      <c r="K24" s="476">
        <f t="shared" si="6"/>
        <v>150605.93841535441</v>
      </c>
    </row>
  </sheetData>
  <mergeCells count="5">
    <mergeCell ref="A6:A7"/>
    <mergeCell ref="A9:A10"/>
    <mergeCell ref="B9:B10"/>
    <mergeCell ref="A12:A14"/>
    <mergeCell ref="B12:B14"/>
  </mergeCells>
  <pageMargins left="0.42" right="0.34" top="0.74803149606299213" bottom="0.74803149606299213" header="0.31496062992125984" footer="0.31496062992125984"/>
  <pageSetup paperSize="9" scale="63" orientation="landscape" r:id="rId1"/>
  <headerFooter>
    <oddFooter>&amp;C&amp;A&amp;RLapa &amp;P no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46"/>
  <sheetViews>
    <sheetView tabSelected="1" view="pageBreakPreview" topLeftCell="A2" zoomScale="70" zoomScaleNormal="55" zoomScaleSheetLayoutView="70" workbookViewId="0">
      <selection activeCell="I2" sqref="I2"/>
    </sheetView>
  </sheetViews>
  <sheetFormatPr defaultRowHeight="15.75" x14ac:dyDescent="0.25"/>
  <cols>
    <col min="1" max="1" width="17.75" style="437" customWidth="1"/>
    <col min="2" max="2" width="15.5" style="437" customWidth="1"/>
    <col min="3" max="3" width="25.75" style="437" customWidth="1"/>
    <col min="4" max="4" width="24.375" style="437" customWidth="1"/>
    <col min="5" max="5" width="15.375" style="437" customWidth="1"/>
    <col min="6" max="6" width="19.25" style="437" customWidth="1"/>
    <col min="7" max="7" width="15.375" style="437" customWidth="1"/>
    <col min="8" max="8" width="14.875" style="437" customWidth="1"/>
    <col min="9" max="9" width="12.75" style="437" customWidth="1"/>
    <col min="10" max="10" width="15.75" style="437" customWidth="1"/>
    <col min="11" max="11" width="15.625" style="437" customWidth="1"/>
    <col min="12" max="16384" width="9" style="437"/>
  </cols>
  <sheetData>
    <row r="2" spans="1:11" x14ac:dyDescent="0.25">
      <c r="A2" s="303" t="str">
        <f>+'4.Prioritāte-5_Pielikums_2d'!A2</f>
        <v>Ekonomisko ieguvumu aprēķins 4.prioritātei</v>
      </c>
    </row>
    <row r="3" spans="1:11" x14ac:dyDescent="0.25">
      <c r="C3" s="490" t="s">
        <v>227</v>
      </c>
    </row>
    <row r="4" spans="1:11" x14ac:dyDescent="0.25">
      <c r="G4" s="543" t="s">
        <v>115</v>
      </c>
      <c r="H4" s="543" t="s">
        <v>116</v>
      </c>
      <c r="I4" s="543" t="s">
        <v>117</v>
      </c>
      <c r="J4" s="543" t="s">
        <v>118</v>
      </c>
      <c r="K4" s="543" t="s">
        <v>119</v>
      </c>
    </row>
    <row r="5" spans="1:11" x14ac:dyDescent="0.25">
      <c r="F5" s="512" t="s">
        <v>253</v>
      </c>
      <c r="G5" s="513" t="s">
        <v>243</v>
      </c>
      <c r="H5" s="513" t="s">
        <v>245</v>
      </c>
      <c r="I5" s="513" t="s">
        <v>251</v>
      </c>
      <c r="J5" s="513" t="s">
        <v>249</v>
      </c>
      <c r="K5" s="513" t="s">
        <v>247</v>
      </c>
    </row>
    <row r="6" spans="1:11" x14ac:dyDescent="0.25">
      <c r="F6" s="472" t="s">
        <v>240</v>
      </c>
      <c r="G6" s="544">
        <v>17</v>
      </c>
      <c r="H6" s="544">
        <v>321</v>
      </c>
      <c r="I6" s="544">
        <v>31</v>
      </c>
      <c r="J6" s="544">
        <v>18</v>
      </c>
      <c r="K6" s="544">
        <v>10</v>
      </c>
    </row>
    <row r="7" spans="1:11" x14ac:dyDescent="0.25">
      <c r="A7" s="542" t="s">
        <v>177</v>
      </c>
      <c r="B7" s="540" t="s">
        <v>178</v>
      </c>
      <c r="C7" s="540" t="s">
        <v>179</v>
      </c>
      <c r="D7" s="540" t="s">
        <v>67</v>
      </c>
      <c r="E7" s="540" t="s">
        <v>181</v>
      </c>
      <c r="F7" s="540" t="s">
        <v>254</v>
      </c>
      <c r="G7" s="506"/>
      <c r="H7" s="506"/>
      <c r="I7" s="506"/>
      <c r="J7" s="506"/>
      <c r="K7" s="506"/>
    </row>
    <row r="8" spans="1:11" ht="54" customHeight="1" x14ac:dyDescent="0.25">
      <c r="A8" s="553" t="s">
        <v>183</v>
      </c>
      <c r="B8" s="515" t="s">
        <v>184</v>
      </c>
      <c r="C8" s="515" t="s">
        <v>185</v>
      </c>
      <c r="D8" s="523" t="s">
        <v>186</v>
      </c>
      <c r="E8" s="541" t="s">
        <v>225</v>
      </c>
      <c r="F8" s="523" t="s">
        <v>187</v>
      </c>
      <c r="G8" s="517">
        <v>42.2</v>
      </c>
      <c r="H8" s="517">
        <v>211</v>
      </c>
      <c r="I8" s="517">
        <v>126.6</v>
      </c>
      <c r="J8" s="517">
        <v>126.6</v>
      </c>
      <c r="K8" s="517">
        <v>126.6</v>
      </c>
    </row>
    <row r="9" spans="1:11" ht="69" customHeight="1" x14ac:dyDescent="0.25">
      <c r="A9" s="553"/>
      <c r="B9" s="518" t="s">
        <v>30</v>
      </c>
      <c r="C9" s="519" t="s">
        <v>188</v>
      </c>
      <c r="D9" s="520" t="s">
        <v>189</v>
      </c>
      <c r="E9" s="521" t="s">
        <v>190</v>
      </c>
      <c r="F9" s="520" t="s">
        <v>191</v>
      </c>
      <c r="G9" s="517">
        <v>97</v>
      </c>
      <c r="H9" s="517">
        <v>97</v>
      </c>
      <c r="I9" s="517">
        <v>97</v>
      </c>
      <c r="J9" s="517">
        <v>97</v>
      </c>
      <c r="K9" s="517">
        <v>97</v>
      </c>
    </row>
    <row r="10" spans="1:11" x14ac:dyDescent="0.25">
      <c r="A10" s="534"/>
      <c r="B10" s="535"/>
      <c r="C10" s="535"/>
      <c r="D10" s="535"/>
      <c r="E10" s="536"/>
      <c r="F10" s="535"/>
      <c r="G10" s="535"/>
      <c r="H10" s="535"/>
      <c r="I10" s="535"/>
      <c r="J10" s="535"/>
      <c r="K10" s="535"/>
    </row>
    <row r="11" spans="1:11" ht="90" customHeight="1" x14ac:dyDescent="0.25">
      <c r="A11" s="553" t="s">
        <v>192</v>
      </c>
      <c r="B11" s="555" t="s">
        <v>193</v>
      </c>
      <c r="C11" s="523" t="s">
        <v>194</v>
      </c>
      <c r="D11" s="524" t="s">
        <v>195</v>
      </c>
      <c r="E11" s="525" t="s">
        <v>196</v>
      </c>
      <c r="F11" s="523" t="s">
        <v>197</v>
      </c>
      <c r="G11" s="526">
        <v>24.429207161125319</v>
      </c>
      <c r="H11" s="526">
        <v>24.429207161125316</v>
      </c>
      <c r="I11" s="526">
        <v>24.429207161125316</v>
      </c>
      <c r="J11" s="526">
        <v>16.286138107416878</v>
      </c>
      <c r="K11" s="526">
        <v>24.429207161125316</v>
      </c>
    </row>
    <row r="12" spans="1:11" ht="63" x14ac:dyDescent="0.25">
      <c r="A12" s="554"/>
      <c r="B12" s="556"/>
      <c r="C12" s="527" t="s">
        <v>198</v>
      </c>
      <c r="D12" s="528" t="s">
        <v>199</v>
      </c>
      <c r="E12" s="522" t="s">
        <v>200</v>
      </c>
      <c r="F12" s="516" t="s">
        <v>201</v>
      </c>
      <c r="G12" s="517">
        <v>8100</v>
      </c>
      <c r="H12" s="517">
        <v>8100</v>
      </c>
      <c r="I12" s="517">
        <v>8100</v>
      </c>
      <c r="J12" s="517">
        <v>8100</v>
      </c>
      <c r="K12" s="517">
        <v>8100</v>
      </c>
    </row>
    <row r="13" spans="1:11" x14ac:dyDescent="0.25">
      <c r="A13" s="537"/>
      <c r="B13" s="538"/>
      <c r="C13" s="538"/>
      <c r="D13" s="538"/>
      <c r="E13" s="539"/>
      <c r="F13" s="538"/>
      <c r="G13" s="538"/>
      <c r="H13" s="538"/>
      <c r="I13" s="538"/>
      <c r="J13" s="538"/>
      <c r="K13" s="538"/>
    </row>
    <row r="14" spans="1:11" ht="32.25" thickBot="1" x14ac:dyDescent="0.3">
      <c r="A14" s="557" t="s">
        <v>202</v>
      </c>
      <c r="B14" s="558" t="s">
        <v>203</v>
      </c>
      <c r="C14" s="516" t="s">
        <v>204</v>
      </c>
      <c r="D14" s="516" t="s">
        <v>205</v>
      </c>
      <c r="E14" s="529" t="s">
        <v>206</v>
      </c>
      <c r="F14" s="516" t="s">
        <v>207</v>
      </c>
      <c r="G14" s="526">
        <v>7332.6168243243246</v>
      </c>
      <c r="H14" s="526">
        <v>4888.4112162162164</v>
      </c>
      <c r="I14" s="526">
        <v>7332.6168243243246</v>
      </c>
      <c r="J14" s="526">
        <v>9776.8224324324328</v>
      </c>
      <c r="K14" s="526">
        <v>7332.6168243243246</v>
      </c>
    </row>
    <row r="15" spans="1:11" ht="32.25" thickBot="1" x14ac:dyDescent="0.3">
      <c r="A15" s="557"/>
      <c r="B15" s="558"/>
      <c r="C15" s="516" t="s">
        <v>208</v>
      </c>
      <c r="D15" s="516" t="s">
        <v>209</v>
      </c>
      <c r="E15" s="529" t="s">
        <v>206</v>
      </c>
      <c r="F15" s="516" t="s">
        <v>210</v>
      </c>
      <c r="G15" s="526">
        <v>18.456305385139743</v>
      </c>
      <c r="H15" s="526">
        <v>36.912610770279485</v>
      </c>
      <c r="I15" s="526">
        <v>27.684458077709614</v>
      </c>
      <c r="J15" s="526">
        <v>18.456305385139743</v>
      </c>
      <c r="K15" s="526">
        <v>18.456305385139743</v>
      </c>
    </row>
    <row r="16" spans="1:11" ht="32.25" thickBot="1" x14ac:dyDescent="0.3">
      <c r="A16" s="557"/>
      <c r="B16" s="558"/>
      <c r="C16" s="530" t="s">
        <v>211</v>
      </c>
      <c r="D16" s="530" t="s">
        <v>212</v>
      </c>
      <c r="E16" s="531" t="s">
        <v>206</v>
      </c>
      <c r="F16" s="520" t="s">
        <v>213</v>
      </c>
      <c r="G16" s="526">
        <v>313.66993963782687</v>
      </c>
      <c r="H16" s="526">
        <v>78.417484909456718</v>
      </c>
      <c r="I16" s="526">
        <v>156.83496981891344</v>
      </c>
      <c r="J16" s="526">
        <v>156.83496981891344</v>
      </c>
      <c r="K16" s="526">
        <v>78.417484909456718</v>
      </c>
    </row>
    <row r="17" spans="1:11" x14ac:dyDescent="0.25">
      <c r="A17" s="465"/>
      <c r="B17" s="466"/>
      <c r="C17" s="466"/>
      <c r="D17" s="466"/>
      <c r="E17" s="466"/>
      <c r="F17" s="532" t="s">
        <v>214</v>
      </c>
      <c r="G17" s="532">
        <f>SUM(G8:G16)</f>
        <v>15928.372276508417</v>
      </c>
      <c r="H17" s="532">
        <f t="shared" ref="H17:K17" si="0">SUM(H8:H16)</f>
        <v>13436.170519057077</v>
      </c>
      <c r="I17" s="532">
        <f t="shared" si="0"/>
        <v>15865.165459382073</v>
      </c>
      <c r="J17" s="532">
        <f t="shared" si="0"/>
        <v>18291.9998457439</v>
      </c>
      <c r="K17" s="532">
        <f t="shared" si="0"/>
        <v>15777.519821780046</v>
      </c>
    </row>
    <row r="18" spans="1:11" ht="16.5" thickBot="1" x14ac:dyDescent="0.3">
      <c r="A18" s="465"/>
      <c r="B18" s="468"/>
      <c r="C18" s="468"/>
      <c r="D18" s="468"/>
      <c r="E18" s="468"/>
      <c r="F18" s="533" t="s">
        <v>215</v>
      </c>
      <c r="G18" s="533">
        <f>G17*G6</f>
        <v>270782.32870064309</v>
      </c>
      <c r="H18" s="533">
        <f>H17*H6</f>
        <v>4313010.7366173221</v>
      </c>
      <c r="I18" s="533">
        <f>I17*I6</f>
        <v>491820.12924084428</v>
      </c>
      <c r="J18" s="533">
        <f>J17*J6</f>
        <v>329255.99722339021</v>
      </c>
      <c r="K18" s="533">
        <f>K17*K6</f>
        <v>157775.19821780047</v>
      </c>
    </row>
    <row r="21" spans="1:11" x14ac:dyDescent="0.25">
      <c r="F21" s="470"/>
      <c r="G21" s="471" t="str">
        <f>+G4</f>
        <v>Bēne</v>
      </c>
      <c r="H21" s="471" t="str">
        <f t="shared" ref="H21:K21" si="1">+H4</f>
        <v>Līvbērze</v>
      </c>
      <c r="I21" s="471" t="str">
        <f t="shared" si="1"/>
        <v>Lociki</v>
      </c>
      <c r="J21" s="471" t="str">
        <f t="shared" si="1"/>
        <v>Skulte</v>
      </c>
      <c r="K21" s="471" t="str">
        <f t="shared" si="1"/>
        <v>Zemgale</v>
      </c>
    </row>
    <row r="22" spans="1:11" x14ac:dyDescent="0.25">
      <c r="F22" s="512" t="s">
        <v>253</v>
      </c>
      <c r="G22" s="513" t="str">
        <f>+G34</f>
        <v>Auce</v>
      </c>
      <c r="H22" s="513" t="str">
        <f t="shared" ref="H22:K22" si="2">+H34</f>
        <v>Lielupe</v>
      </c>
      <c r="I22" s="513" t="str">
        <f t="shared" si="2"/>
        <v>Līksna</v>
      </c>
      <c r="J22" s="513" t="str">
        <f t="shared" si="2"/>
        <v>Aģe</v>
      </c>
      <c r="K22" s="513" t="str">
        <f t="shared" si="2"/>
        <v>Tērvete</v>
      </c>
    </row>
    <row r="23" spans="1:11" x14ac:dyDescent="0.25">
      <c r="F23" s="472" t="s">
        <v>240</v>
      </c>
      <c r="G23" s="473">
        <f>+G6</f>
        <v>17</v>
      </c>
      <c r="H23" s="473">
        <f>+H6</f>
        <v>321</v>
      </c>
      <c r="I23" s="473">
        <f>+I6</f>
        <v>31</v>
      </c>
      <c r="J23" s="473">
        <f>+J6</f>
        <v>18</v>
      </c>
      <c r="K23" s="473">
        <f>+K6</f>
        <v>10</v>
      </c>
    </row>
    <row r="24" spans="1:11" x14ac:dyDescent="0.25">
      <c r="F24" s="474" t="str">
        <f>+A8</f>
        <v>Apgādes pakalpojumi</v>
      </c>
      <c r="G24" s="475">
        <f>SUM(G8:G9)*G23</f>
        <v>2366.3999999999996</v>
      </c>
      <c r="H24" s="475">
        <f>SUM(H8:H9)*H23</f>
        <v>98868</v>
      </c>
      <c r="I24" s="475">
        <f t="shared" ref="I24:K24" si="3">SUM(I8:I9)*I23</f>
        <v>6931.5999999999995</v>
      </c>
      <c r="J24" s="475">
        <f t="shared" si="3"/>
        <v>4024.7999999999997</v>
      </c>
      <c r="K24" s="475">
        <f t="shared" si="3"/>
        <v>2236</v>
      </c>
    </row>
    <row r="25" spans="1:11" x14ac:dyDescent="0.25">
      <c r="F25" s="474" t="str">
        <f>+A11</f>
        <v>Regulējošie pakalpojumi</v>
      </c>
      <c r="G25" s="475">
        <f>SUM(G11:G12)*G23</f>
        <v>138115.29652173913</v>
      </c>
      <c r="H25" s="475">
        <f t="shared" ref="H25:K25" si="4">SUM(H11:H12)*H23</f>
        <v>2607941.7754987213</v>
      </c>
      <c r="I25" s="475">
        <f t="shared" si="4"/>
        <v>251857.30542199488</v>
      </c>
      <c r="J25" s="475">
        <f t="shared" si="4"/>
        <v>146093.1504859335</v>
      </c>
      <c r="K25" s="475">
        <f t="shared" si="4"/>
        <v>81244.292071611257</v>
      </c>
    </row>
    <row r="26" spans="1:11" x14ac:dyDescent="0.25">
      <c r="F26" s="474" t="str">
        <f>+A14</f>
        <v>Kultūras pakalpojumi</v>
      </c>
      <c r="G26" s="476">
        <f>SUM(G14:G16)*G23</f>
        <v>130300.63217890395</v>
      </c>
      <c r="H26" s="476">
        <f t="shared" ref="H26:K26" si="5">SUM(H14:H16)*H23</f>
        <v>1606200.961118601</v>
      </c>
      <c r="I26" s="476">
        <f t="shared" si="5"/>
        <v>233031.22381884936</v>
      </c>
      <c r="J26" s="476">
        <f t="shared" si="5"/>
        <v>179138.04673745675</v>
      </c>
      <c r="K26" s="476">
        <f t="shared" si="5"/>
        <v>74294.906146189212</v>
      </c>
    </row>
    <row r="27" spans="1:11" x14ac:dyDescent="0.25">
      <c r="F27" s="474" t="s">
        <v>217</v>
      </c>
      <c r="G27" s="476">
        <f>SUM(G24:G26)</f>
        <v>270782.32870064309</v>
      </c>
      <c r="H27" s="476">
        <f t="shared" ref="H27:K27" si="6">SUM(H24:H26)</f>
        <v>4313010.7366173221</v>
      </c>
      <c r="I27" s="476">
        <f t="shared" si="6"/>
        <v>491820.12924084428</v>
      </c>
      <c r="J27" s="476">
        <f t="shared" si="6"/>
        <v>329255.99722339027</v>
      </c>
      <c r="K27" s="476">
        <f t="shared" si="6"/>
        <v>157775.19821780047</v>
      </c>
    </row>
    <row r="34" spans="6:11" hidden="1" x14ac:dyDescent="0.25">
      <c r="G34" s="437" t="s">
        <v>243</v>
      </c>
      <c r="H34" s="437" t="s">
        <v>245</v>
      </c>
      <c r="I34" s="437" t="s">
        <v>251</v>
      </c>
      <c r="J34" s="437" t="s">
        <v>249</v>
      </c>
      <c r="K34" s="437" t="s">
        <v>247</v>
      </c>
    </row>
    <row r="35" spans="6:11" hidden="1" x14ac:dyDescent="0.25"/>
    <row r="36" spans="6:11" hidden="1" x14ac:dyDescent="0.25">
      <c r="F36" s="505"/>
      <c r="G36" s="505"/>
      <c r="H36" s="505" t="s">
        <v>241</v>
      </c>
      <c r="I36" s="505" t="s">
        <v>242</v>
      </c>
      <c r="J36" s="505" t="s">
        <v>240</v>
      </c>
    </row>
    <row r="37" spans="6:11" hidden="1" x14ac:dyDescent="0.25">
      <c r="F37" s="506"/>
      <c r="G37" s="506"/>
      <c r="H37" s="506"/>
      <c r="I37" s="506"/>
      <c r="J37" s="506"/>
    </row>
    <row r="38" spans="6:11" hidden="1" x14ac:dyDescent="0.25">
      <c r="F38" s="506" t="s">
        <v>243</v>
      </c>
      <c r="G38" s="507" t="s">
        <v>244</v>
      </c>
      <c r="H38" s="444">
        <v>33930</v>
      </c>
      <c r="I38" s="507">
        <v>5</v>
      </c>
      <c r="J38" s="508">
        <f>ROUND(H38*I38/10000,0)</f>
        <v>17</v>
      </c>
      <c r="K38" s="437">
        <v>17</v>
      </c>
    </row>
    <row r="39" spans="6:11" hidden="1" x14ac:dyDescent="0.25">
      <c r="F39" s="506"/>
      <c r="G39" s="506"/>
      <c r="H39" s="444"/>
      <c r="I39" s="506"/>
      <c r="J39" s="508"/>
    </row>
    <row r="40" spans="6:11" hidden="1" x14ac:dyDescent="0.25">
      <c r="F40" s="509" t="s">
        <v>245</v>
      </c>
      <c r="G40" s="510" t="s">
        <v>246</v>
      </c>
      <c r="H40" s="511">
        <v>16070</v>
      </c>
      <c r="I40" s="507">
        <v>200</v>
      </c>
      <c r="J40" s="508">
        <f>ROUND(H40*I40/10000,0)</f>
        <v>321</v>
      </c>
      <c r="K40" s="437">
        <v>321</v>
      </c>
    </row>
    <row r="41" spans="6:11" hidden="1" x14ac:dyDescent="0.25">
      <c r="F41" s="506"/>
      <c r="G41" s="506"/>
      <c r="H41" s="444"/>
      <c r="I41" s="506"/>
      <c r="J41" s="508"/>
    </row>
    <row r="42" spans="6:11" hidden="1" x14ac:dyDescent="0.25">
      <c r="F42" s="506" t="s">
        <v>247</v>
      </c>
      <c r="G42" s="507" t="s">
        <v>248</v>
      </c>
      <c r="H42" s="444">
        <v>16540</v>
      </c>
      <c r="I42" s="507">
        <v>6</v>
      </c>
      <c r="J42" s="508">
        <f>ROUND(H42*I42/10000,0)</f>
        <v>10</v>
      </c>
      <c r="K42" s="437">
        <v>10</v>
      </c>
    </row>
    <row r="43" spans="6:11" hidden="1" x14ac:dyDescent="0.25">
      <c r="F43" s="506"/>
      <c r="G43" s="506"/>
      <c r="H43" s="444"/>
      <c r="I43" s="506"/>
      <c r="J43" s="508"/>
    </row>
    <row r="44" spans="6:11" hidden="1" x14ac:dyDescent="0.25">
      <c r="F44" s="506" t="s">
        <v>249</v>
      </c>
      <c r="G44" s="507" t="s">
        <v>250</v>
      </c>
      <c r="H44" s="444">
        <v>35280</v>
      </c>
      <c r="I44" s="507">
        <v>5</v>
      </c>
      <c r="J44" s="508">
        <f>ROUND(H44*I44/10000,0)</f>
        <v>18</v>
      </c>
      <c r="K44" s="437">
        <v>18</v>
      </c>
    </row>
    <row r="45" spans="6:11" hidden="1" x14ac:dyDescent="0.25">
      <c r="F45" s="506"/>
      <c r="G45" s="506"/>
      <c r="H45" s="444"/>
      <c r="I45" s="506"/>
      <c r="J45" s="508"/>
    </row>
    <row r="46" spans="6:11" hidden="1" x14ac:dyDescent="0.25">
      <c r="F46" s="506" t="s">
        <v>251</v>
      </c>
      <c r="G46" s="507" t="s">
        <v>252</v>
      </c>
      <c r="H46" s="444">
        <v>51260</v>
      </c>
      <c r="I46" s="507">
        <v>6</v>
      </c>
      <c r="J46" s="508">
        <f>ROUND(H46*I46/10000,0)</f>
        <v>31</v>
      </c>
      <c r="K46" s="437">
        <v>31</v>
      </c>
    </row>
  </sheetData>
  <mergeCells count="5">
    <mergeCell ref="A8:A9"/>
    <mergeCell ref="A11:A12"/>
    <mergeCell ref="B11:B12"/>
    <mergeCell ref="A14:A16"/>
    <mergeCell ref="B14:B16"/>
  </mergeCells>
  <pageMargins left="0.35" right="0.28000000000000003" top="0.74803149606299213" bottom="0.74803149606299213" header="0.31496062992125984" footer="0.31496062992125984"/>
  <pageSetup paperSize="9" scale="67" orientation="landscape" r:id="rId1"/>
  <headerFooter>
    <oddFooter>&amp;C&amp;A&amp;RLapa &amp;P no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9</vt:i4>
      </vt:variant>
    </vt:vector>
  </HeadingPairs>
  <TitlesOfParts>
    <vt:vector size="20" baseType="lpstr">
      <vt:lpstr>4_prioritate_1_pielikums</vt:lpstr>
      <vt:lpstr>4_prioritate_2_pielikums</vt:lpstr>
      <vt:lpstr>4_prioritate_3_pielikums_1d</vt:lpstr>
      <vt:lpstr>4_prioritate_3_pielikums_2d</vt:lpstr>
      <vt:lpstr>4_prioritate_3_pielikums_3d</vt:lpstr>
      <vt:lpstr>4.Prioritāte-4_Pielikums</vt:lpstr>
      <vt:lpstr>4.Prioritāte-5_Pielikums_1d</vt:lpstr>
      <vt:lpstr>4.Prioritāte-5_Pielikums_2d</vt:lpstr>
      <vt:lpstr>4.Prioritāte-5_Pielikums_3d</vt:lpstr>
      <vt:lpstr>4.Prioritāte-5_Pielikums_4d</vt:lpstr>
      <vt:lpstr>R-NPV-IRR-BC-4_Prioritāte</vt:lpstr>
      <vt:lpstr>'4.Prioritāte-5_Pielikums_1d'!Print_Area</vt:lpstr>
      <vt:lpstr>'4.Prioritāte-5_Pielikums_3d'!Print_Area</vt:lpstr>
      <vt:lpstr>'4.Prioritāte-5_Pielikums_4d'!Print_Area</vt:lpstr>
      <vt:lpstr>'4_prioritate_1_pielikums'!Print_Area</vt:lpstr>
      <vt:lpstr>'4_prioritate_2_pielikums'!Print_Area</vt:lpstr>
      <vt:lpstr>'4_prioritate_3_pielikums_1d'!Print_Area</vt:lpstr>
      <vt:lpstr>'4_prioritate_3_pielikums_2d'!Print_Area</vt:lpstr>
      <vt:lpstr>'4_prioritate_3_pielikums_3d'!Print_Area</vt:lpstr>
      <vt:lpstr>'R-NPV-IRR-BC-4_Prioritāte'!Print_Area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Laura</cp:lastModifiedBy>
  <cp:lastPrinted>2019-10-23T13:27:14Z</cp:lastPrinted>
  <dcterms:created xsi:type="dcterms:W3CDTF">2019-07-16T14:49:50Z</dcterms:created>
  <dcterms:modified xsi:type="dcterms:W3CDTF">2019-11-26T07:17:58Z</dcterms:modified>
</cp:coreProperties>
</file>